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DOCUMENTOS EDITH\INFORMACIÓN 2020\INFORMES EJECUCIÓN PLAN DE ACCIÓN\"/>
    </mc:Choice>
  </mc:AlternateContent>
  <bookViews>
    <workbookView xWindow="0" yWindow="0" windowWidth="20490" windowHeight="6825" activeTab="1"/>
  </bookViews>
  <sheets>
    <sheet name="P. ACCIÓN A 31 DE OCT. 2020" sheetId="1" r:id="rId1"/>
    <sheet name="P. ACCIÓN CONSOLIDADO OCT. 2020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</externalReferences>
  <definedNames>
    <definedName name="_xlnm.Print_Titles" localSheetId="0">'P. ACCIÓN A 31 DE OCT. 2020'!$C:$F,'P. ACCIÓN A 31 DE OCT. 2020'!$3:$5</definedName>
    <definedName name="_xlnm.Print_Titles" localSheetId="1">'P. ACCIÓN CONSOLIDADO OCT. 2020'!$C:$F,'P. ACCIÓN CONSOLIDADO OCT. 2020'!$3:$5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I131" i="2" l="1"/>
  <c r="J199" i="2" l="1"/>
  <c r="AF199" i="2" s="1"/>
  <c r="J198" i="2"/>
  <c r="AF198" i="2" s="1"/>
  <c r="J197" i="2"/>
  <c r="AF197" i="2" s="1"/>
  <c r="J196" i="2"/>
  <c r="AF196" i="2" s="1"/>
  <c r="J195" i="2"/>
  <c r="AF195" i="2" s="1"/>
  <c r="EF141" i="2"/>
  <c r="EE141" i="2"/>
  <c r="J141" i="2" l="1"/>
  <c r="DB139" i="2"/>
  <c r="DA139" i="2"/>
  <c r="CZ139" i="2"/>
  <c r="CW139" i="2"/>
  <c r="CU139" i="2"/>
  <c r="CT139" i="2"/>
  <c r="CS139" i="2"/>
  <c r="CR139" i="2"/>
  <c r="CQ139" i="2"/>
  <c r="CP139" i="2"/>
  <c r="CO139" i="2"/>
  <c r="CN139" i="2"/>
  <c r="CM139" i="2"/>
  <c r="CL139" i="2"/>
  <c r="CK139" i="2"/>
  <c r="CJ139" i="2"/>
  <c r="CI139" i="2"/>
  <c r="CG139" i="2"/>
  <c r="BD139" i="2"/>
  <c r="BC139" i="2"/>
  <c r="BB139" i="2"/>
  <c r="AY139" i="2"/>
  <c r="AW139" i="2"/>
  <c r="AV139" i="2"/>
  <c r="AU139" i="2"/>
  <c r="AT139" i="2"/>
  <c r="AS139" i="2"/>
  <c r="AR139" i="2"/>
  <c r="AQ139" i="2"/>
  <c r="AP139" i="2"/>
  <c r="AO139" i="2"/>
  <c r="AN139" i="2"/>
  <c r="AM139" i="2"/>
  <c r="AL139" i="2"/>
  <c r="AK139" i="2"/>
  <c r="AI139" i="2"/>
  <c r="AE139" i="2"/>
  <c r="AC139" i="2"/>
  <c r="Z139" i="2"/>
  <c r="Y139" i="2"/>
  <c r="X139" i="2"/>
  <c r="W139" i="2"/>
  <c r="V139" i="2"/>
  <c r="U139" i="2"/>
  <c r="T139" i="2"/>
  <c r="S139" i="2"/>
  <c r="R139" i="2"/>
  <c r="Q139" i="2"/>
  <c r="P139" i="2"/>
  <c r="O139" i="2"/>
  <c r="N139" i="2"/>
  <c r="M139" i="2"/>
  <c r="L139" i="2"/>
  <c r="J139" i="2"/>
  <c r="DA138" i="2"/>
  <c r="CZ138" i="2"/>
  <c r="CY138" i="2"/>
  <c r="CW138" i="2"/>
  <c r="CV138" i="2"/>
  <c r="CU138" i="2"/>
  <c r="CT138" i="2"/>
  <c r="CS138" i="2"/>
  <c r="CQ138" i="2"/>
  <c r="CP138" i="2"/>
  <c r="CO138" i="2"/>
  <c r="CN138" i="2"/>
  <c r="CM138" i="2"/>
  <c r="CK138" i="2"/>
  <c r="CJ138" i="2"/>
  <c r="CI138" i="2"/>
  <c r="CG138" i="2"/>
  <c r="BC138" i="2"/>
  <c r="BB138" i="2"/>
  <c r="BA138" i="2"/>
  <c r="AY138" i="2"/>
  <c r="AX138" i="2"/>
  <c r="AW138" i="2"/>
  <c r="AV138" i="2"/>
  <c r="AU138" i="2"/>
  <c r="AS138" i="2"/>
  <c r="AR138" i="2"/>
  <c r="AQ138" i="2"/>
  <c r="AP138" i="2"/>
  <c r="AO138" i="2"/>
  <c r="AM138" i="2"/>
  <c r="AK138" i="2"/>
  <c r="AI138" i="2"/>
  <c r="AE138" i="2"/>
  <c r="AC138" i="2"/>
  <c r="AB138" i="2"/>
  <c r="Z138" i="2"/>
  <c r="Y138" i="2"/>
  <c r="X138" i="2"/>
  <c r="W138" i="2"/>
  <c r="V138" i="2"/>
  <c r="T138" i="2"/>
  <c r="S138" i="2"/>
  <c r="R138" i="2"/>
  <c r="Q138" i="2"/>
  <c r="P138" i="2"/>
  <c r="O138" i="2"/>
  <c r="N138" i="2"/>
  <c r="M138" i="2"/>
  <c r="L138" i="2"/>
  <c r="J138" i="2"/>
  <c r="DB137" i="2"/>
  <c r="CZ137" i="2"/>
  <c r="CX137" i="2"/>
  <c r="CW137" i="2"/>
  <c r="CU137" i="2"/>
  <c r="CT137" i="2"/>
  <c r="CS137" i="2"/>
  <c r="CR137" i="2"/>
  <c r="CM137" i="2"/>
  <c r="CL137" i="2"/>
  <c r="CK137" i="2"/>
  <c r="CJ137" i="2"/>
  <c r="CI137" i="2"/>
  <c r="CG137" i="2"/>
  <c r="BD137" i="2"/>
  <c r="BB137" i="2"/>
  <c r="AZ137" i="2"/>
  <c r="AY137" i="2"/>
  <c r="AW137" i="2"/>
  <c r="AV137" i="2"/>
  <c r="AU137" i="2"/>
  <c r="AT137" i="2"/>
  <c r="AO137" i="2"/>
  <c r="AN137" i="2"/>
  <c r="AM137" i="2"/>
  <c r="AL137" i="2"/>
  <c r="AK137" i="2"/>
  <c r="AI137" i="2"/>
  <c r="AE137" i="2"/>
  <c r="AC137" i="2"/>
  <c r="AA137" i="2"/>
  <c r="Z137" i="2"/>
  <c r="X137" i="2"/>
  <c r="W137" i="2"/>
  <c r="V137" i="2"/>
  <c r="U137" i="2"/>
  <c r="P137" i="2"/>
  <c r="O137" i="2"/>
  <c r="N137" i="2"/>
  <c r="M137" i="2"/>
  <c r="L137" i="2"/>
  <c r="J137" i="2"/>
  <c r="DB136" i="2"/>
  <c r="DA136" i="2"/>
  <c r="CZ136" i="2"/>
  <c r="CY136" i="2"/>
  <c r="CX136" i="2"/>
  <c r="CW136" i="2"/>
  <c r="CV136" i="2"/>
  <c r="CU136" i="2"/>
  <c r="CT136" i="2"/>
  <c r="CS136" i="2"/>
  <c r="CQ136" i="2"/>
  <c r="CP136" i="2"/>
  <c r="CO136" i="2"/>
  <c r="CN136" i="2"/>
  <c r="CM136" i="2"/>
  <c r="CL136" i="2"/>
  <c r="CK136" i="2"/>
  <c r="CJ136" i="2"/>
  <c r="CI136" i="2"/>
  <c r="CG136" i="2"/>
  <c r="BD136" i="2"/>
  <c r="BC136" i="2"/>
  <c r="BB136" i="2"/>
  <c r="BA136" i="2"/>
  <c r="AZ136" i="2"/>
  <c r="AY136" i="2"/>
  <c r="AX136" i="2"/>
  <c r="AW136" i="2"/>
  <c r="AV136" i="2"/>
  <c r="AU136" i="2"/>
  <c r="AS136" i="2"/>
  <c r="AR136" i="2"/>
  <c r="AQ136" i="2"/>
  <c r="AP136" i="2"/>
  <c r="AO136" i="2"/>
  <c r="AN136" i="2"/>
  <c r="AM136" i="2"/>
  <c r="AL136" i="2"/>
  <c r="AK136" i="2"/>
  <c r="AI136" i="2"/>
  <c r="AE136" i="2"/>
  <c r="AC136" i="2"/>
  <c r="AB136" i="2"/>
  <c r="AA136" i="2"/>
  <c r="Z136" i="2"/>
  <c r="Y136" i="2"/>
  <c r="X136" i="2"/>
  <c r="W136" i="2"/>
  <c r="V136" i="2"/>
  <c r="T136" i="2"/>
  <c r="S136" i="2"/>
  <c r="R136" i="2"/>
  <c r="Q136" i="2"/>
  <c r="P136" i="2"/>
  <c r="O136" i="2"/>
  <c r="N136" i="2"/>
  <c r="M136" i="2"/>
  <c r="L136" i="2"/>
  <c r="J136" i="2"/>
  <c r="DB135" i="2"/>
  <c r="DA135" i="2"/>
  <c r="CV135" i="2"/>
  <c r="CU135" i="2"/>
  <c r="CT135" i="2"/>
  <c r="CS135" i="2"/>
  <c r="CR135" i="2"/>
  <c r="CQ135" i="2"/>
  <c r="CP135" i="2"/>
  <c r="CO135" i="2"/>
  <c r="CN135" i="2"/>
  <c r="CM135" i="2"/>
  <c r="CL135" i="2"/>
  <c r="CK135" i="2"/>
  <c r="CJ135" i="2"/>
  <c r="CI135" i="2"/>
  <c r="CH135" i="2"/>
  <c r="CG135" i="2"/>
  <c r="BD135" i="2"/>
  <c r="BC135" i="2"/>
  <c r="AX135" i="2"/>
  <c r="AW135" i="2"/>
  <c r="AV135" i="2"/>
  <c r="AU135" i="2"/>
  <c r="AT135" i="2"/>
  <c r="AS135" i="2"/>
  <c r="AR135" i="2"/>
  <c r="AQ135" i="2"/>
  <c r="AP135" i="2"/>
  <c r="AO135" i="2"/>
  <c r="AN135" i="2"/>
  <c r="AM135" i="2"/>
  <c r="AJ135" i="2"/>
  <c r="AE135" i="2"/>
  <c r="AB135" i="2"/>
  <c r="AA135" i="2"/>
  <c r="Z135" i="2"/>
  <c r="Y135" i="2"/>
  <c r="X135" i="2"/>
  <c r="W135" i="2"/>
  <c r="V135" i="2"/>
  <c r="U135" i="2"/>
  <c r="T135" i="2"/>
  <c r="S135" i="2"/>
  <c r="R135" i="2"/>
  <c r="Q135" i="2"/>
  <c r="P135" i="2"/>
  <c r="O135" i="2"/>
  <c r="N135" i="2"/>
  <c r="M135" i="2"/>
  <c r="L135" i="2"/>
  <c r="K135" i="2"/>
  <c r="DB134" i="2"/>
  <c r="DA134" i="2"/>
  <c r="CZ134" i="2"/>
  <c r="CW134" i="2"/>
  <c r="CU134" i="2"/>
  <c r="CT134" i="2"/>
  <c r="CS134" i="2"/>
  <c r="CN134" i="2"/>
  <c r="CL134" i="2"/>
  <c r="CK134" i="2"/>
  <c r="CJ134" i="2"/>
  <c r="CI134" i="2"/>
  <c r="BC134" i="2"/>
  <c r="BB134" i="2"/>
  <c r="AY134" i="2"/>
  <c r="AW134" i="2"/>
  <c r="AV134" i="2"/>
  <c r="AN134" i="2"/>
  <c r="AM134" i="2"/>
  <c r="AL134" i="2"/>
  <c r="AK134" i="2"/>
  <c r="AE134" i="2"/>
  <c r="AC134" i="2"/>
  <c r="AB134" i="2"/>
  <c r="AA134" i="2"/>
  <c r="Z134" i="2"/>
  <c r="Y134" i="2"/>
  <c r="X134" i="2"/>
  <c r="W134" i="2"/>
  <c r="V134" i="2"/>
  <c r="U134" i="2"/>
  <c r="N134" i="2"/>
  <c r="M134" i="2"/>
  <c r="L134" i="2"/>
  <c r="J134" i="2"/>
  <c r="DB133" i="2"/>
  <c r="DA133" i="2"/>
  <c r="CZ133" i="2"/>
  <c r="CY133" i="2"/>
  <c r="CX133" i="2"/>
  <c r="CW133" i="2"/>
  <c r="CV133" i="2"/>
  <c r="CU133" i="2"/>
  <c r="CT133" i="2"/>
  <c r="CS133" i="2"/>
  <c r="CR133" i="2"/>
  <c r="CQ133" i="2"/>
  <c r="CP133" i="2"/>
  <c r="CO133" i="2"/>
  <c r="CM133" i="2"/>
  <c r="CL133" i="2"/>
  <c r="CJ133" i="2"/>
  <c r="CI133" i="2"/>
  <c r="CH133" i="2"/>
  <c r="BC133" i="2"/>
  <c r="BB133" i="2"/>
  <c r="BA133" i="2"/>
  <c r="AY133" i="2"/>
  <c r="AX133" i="2"/>
  <c r="AU133" i="2"/>
  <c r="AT133" i="2"/>
  <c r="AS133" i="2"/>
  <c r="AR133" i="2"/>
  <c r="AO133" i="2"/>
  <c r="AN133" i="2"/>
  <c r="AL133" i="2"/>
  <c r="AK133" i="2"/>
  <c r="AJ133" i="2"/>
  <c r="AD133" i="2"/>
  <c r="AC133" i="2"/>
  <c r="Z133" i="2"/>
  <c r="Y133" i="2"/>
  <c r="V133" i="2"/>
  <c r="U133" i="2"/>
  <c r="P133" i="2"/>
  <c r="O133" i="2"/>
  <c r="N133" i="2"/>
  <c r="M133" i="2"/>
  <c r="L133" i="2"/>
  <c r="K133" i="2"/>
  <c r="J133" i="2"/>
  <c r="DB129" i="2"/>
  <c r="DA129" i="2"/>
  <c r="CZ129" i="2"/>
  <c r="CW129" i="2"/>
  <c r="CU129" i="2"/>
  <c r="CT129" i="2"/>
  <c r="CS129" i="2"/>
  <c r="CJ129" i="2"/>
  <c r="CI129" i="2"/>
  <c r="BC129" i="2"/>
  <c r="BB129" i="2"/>
  <c r="AY129" i="2"/>
  <c r="AL129" i="2"/>
  <c r="AK129" i="2"/>
  <c r="AD129" i="2"/>
  <c r="AC129" i="2"/>
  <c r="Z129" i="2"/>
  <c r="Y129" i="2"/>
  <c r="V129" i="2"/>
  <c r="U129" i="2"/>
  <c r="N129" i="2"/>
  <c r="M129" i="2"/>
  <c r="L129" i="2"/>
  <c r="J129" i="2"/>
  <c r="EA128" i="2"/>
  <c r="DZ128" i="2"/>
  <c r="DY128" i="2"/>
  <c r="DX128" i="2"/>
  <c r="DW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DC128" i="2"/>
  <c r="EB128" i="2" s="1"/>
  <c r="CH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BE128" i="2"/>
  <c r="CD128" i="2" s="1"/>
  <c r="AJ128" i="2"/>
  <c r="K128" i="2"/>
  <c r="H128" i="2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F127" i="2"/>
  <c r="CH127" i="2"/>
  <c r="CF127" i="2" s="1"/>
  <c r="EF127" i="2" s="1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H127" i="2"/>
  <c r="AJ127" i="2"/>
  <c r="AH127" i="2" s="1"/>
  <c r="K127" i="2"/>
  <c r="H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J126" i="2"/>
  <c r="DI126" i="2"/>
  <c r="DH126" i="2"/>
  <c r="DF126" i="2"/>
  <c r="CL126" i="2"/>
  <c r="CH126" i="2"/>
  <c r="CD126" i="2"/>
  <c r="CC126" i="2"/>
  <c r="CB126" i="2"/>
  <c r="CA126" i="2"/>
  <c r="BZ126" i="2"/>
  <c r="BY126" i="2"/>
  <c r="BX126" i="2"/>
  <c r="BW126" i="2"/>
  <c r="BV126" i="2"/>
  <c r="BU126" i="2"/>
  <c r="BT126" i="2"/>
  <c r="BS126" i="2"/>
  <c r="BR126" i="2"/>
  <c r="BQ126" i="2"/>
  <c r="BP126" i="2"/>
  <c r="BO126" i="2"/>
  <c r="BN126" i="2"/>
  <c r="BL126" i="2"/>
  <c r="BK126" i="2"/>
  <c r="BJ126" i="2"/>
  <c r="BH126" i="2"/>
  <c r="AN126" i="2"/>
  <c r="AN138" i="2" s="1"/>
  <c r="AJ126" i="2"/>
  <c r="K126" i="2"/>
  <c r="H126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DG125" i="2"/>
  <c r="DF125" i="2"/>
  <c r="DC125" i="2"/>
  <c r="CF125" i="2" s="1"/>
  <c r="EF125" i="2" s="1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BI125" i="2"/>
  <c r="BH125" i="2"/>
  <c r="BE125" i="2"/>
  <c r="AH125" i="2" s="1"/>
  <c r="H125" i="2"/>
  <c r="G125" i="2"/>
  <c r="EE125" i="2" s="1"/>
  <c r="EB124" i="2"/>
  <c r="EA124" i="2"/>
  <c r="DZ124" i="2"/>
  <c r="DY124" i="2"/>
  <c r="DX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X124" i="2"/>
  <c r="CH124" i="2"/>
  <c r="CD124" i="2"/>
  <c r="CC124" i="2"/>
  <c r="CB124" i="2"/>
  <c r="CA124" i="2"/>
  <c r="BZ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Z124" i="2"/>
  <c r="BY124" i="2" s="1"/>
  <c r="AJ124" i="2"/>
  <c r="K124" i="2"/>
  <c r="G124" i="2" s="1"/>
  <c r="EE124" i="2" s="1"/>
  <c r="H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H123" i="2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BY123" i="2" s="1"/>
  <c r="AJ123" i="2"/>
  <c r="BI123" i="2" s="1"/>
  <c r="H123" i="2"/>
  <c r="G123" i="2"/>
  <c r="EE123" i="2" s="1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X122" i="2"/>
  <c r="CH122" i="2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Z122" i="2"/>
  <c r="AJ122" i="2"/>
  <c r="AA122" i="2"/>
  <c r="K122" i="2"/>
  <c r="H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CD121" i="2"/>
  <c r="CC121" i="2"/>
  <c r="CB121" i="2"/>
  <c r="CA121" i="2"/>
  <c r="BZ121" i="2"/>
  <c r="BY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K121" i="2"/>
  <c r="BJ121" i="2"/>
  <c r="BH121" i="2"/>
  <c r="AJ121" i="2"/>
  <c r="BI121" i="2" s="1"/>
  <c r="H121" i="2"/>
  <c r="G121" i="2"/>
  <c r="EE121" i="2" s="1"/>
  <c r="EB120" i="2"/>
  <c r="EA120" i="2"/>
  <c r="DZ120" i="2"/>
  <c r="DY120" i="2"/>
  <c r="DX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F120" i="2"/>
  <c r="CX120" i="2"/>
  <c r="CH120" i="2"/>
  <c r="CD120" i="2"/>
  <c r="CC120" i="2"/>
  <c r="CB120" i="2"/>
  <c r="CA120" i="2"/>
  <c r="BZ120" i="2"/>
  <c r="BX120" i="2"/>
  <c r="BW120" i="2"/>
  <c r="BV120" i="2"/>
  <c r="BU120" i="2"/>
  <c r="BT120" i="2"/>
  <c r="BS120" i="2"/>
  <c r="BR120" i="2"/>
  <c r="BQ120" i="2"/>
  <c r="BP120" i="2"/>
  <c r="BO120" i="2"/>
  <c r="BN120" i="2"/>
  <c r="BM120" i="2"/>
  <c r="BL120" i="2"/>
  <c r="BK120" i="2"/>
  <c r="BJ120" i="2"/>
  <c r="BH120" i="2"/>
  <c r="AZ120" i="2"/>
  <c r="AJ120" i="2"/>
  <c r="AA120" i="2"/>
  <c r="K120" i="2"/>
  <c r="H120" i="2"/>
  <c r="EB119" i="2"/>
  <c r="EA119" i="2"/>
  <c r="DZ119" i="2"/>
  <c r="DY119" i="2"/>
  <c r="DX119" i="2"/>
  <c r="DV119" i="2"/>
  <c r="DU119" i="2"/>
  <c r="DT119" i="2"/>
  <c r="DS119" i="2"/>
  <c r="DR119" i="2"/>
  <c r="DQ119" i="2"/>
  <c r="DP119" i="2"/>
  <c r="DO119" i="2"/>
  <c r="DN119" i="2"/>
  <c r="DM119" i="2"/>
  <c r="DL119" i="2"/>
  <c r="DK119" i="2"/>
  <c r="DJ119" i="2"/>
  <c r="DI119" i="2"/>
  <c r="DH119" i="2"/>
  <c r="DF119" i="2"/>
  <c r="CX119" i="2"/>
  <c r="CH119" i="2"/>
  <c r="DG119" i="2" s="1"/>
  <c r="CD119" i="2"/>
  <c r="CC119" i="2"/>
  <c r="CB119" i="2"/>
  <c r="CA119" i="2"/>
  <c r="BZ119" i="2"/>
  <c r="BX119" i="2"/>
  <c r="BW119" i="2"/>
  <c r="BV119" i="2"/>
  <c r="BU119" i="2"/>
  <c r="BT119" i="2"/>
  <c r="BS119" i="2"/>
  <c r="BR119" i="2"/>
  <c r="BQ119" i="2"/>
  <c r="BP119" i="2"/>
  <c r="BO119" i="2"/>
  <c r="BN119" i="2"/>
  <c r="BM119" i="2"/>
  <c r="BL119" i="2"/>
  <c r="BK119" i="2"/>
  <c r="BJ119" i="2"/>
  <c r="BH119" i="2"/>
  <c r="AZ119" i="2"/>
  <c r="BY119" i="2" s="1"/>
  <c r="AJ119" i="2"/>
  <c r="H119" i="2"/>
  <c r="G119" i="2"/>
  <c r="EE119" i="2" s="1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F118" i="2"/>
  <c r="CH118" i="2"/>
  <c r="CF118" i="2" s="1"/>
  <c r="EF118" i="2" s="1"/>
  <c r="CD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H118" i="2"/>
  <c r="AJ118" i="2"/>
  <c r="K118" i="2"/>
  <c r="DG118" i="2" s="1"/>
  <c r="H118" i="2"/>
  <c r="EB117" i="2"/>
  <c r="EA117" i="2"/>
  <c r="DZ117" i="2"/>
  <c r="DY117" i="2"/>
  <c r="DX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F117" i="2"/>
  <c r="CX117" i="2"/>
  <c r="DW117" i="2" s="1"/>
  <c r="CH117" i="2"/>
  <c r="CD117" i="2"/>
  <c r="CC117" i="2"/>
  <c r="CB117" i="2"/>
  <c r="CA117" i="2"/>
  <c r="BZ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H117" i="2"/>
  <c r="AZ117" i="2"/>
  <c r="BY117" i="2" s="1"/>
  <c r="AJ117" i="2"/>
  <c r="K117" i="2"/>
  <c r="H117" i="2"/>
  <c r="EB116" i="2"/>
  <c r="EA116" i="2"/>
  <c r="DZ116" i="2"/>
  <c r="DY116" i="2"/>
  <c r="DX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F116" i="2"/>
  <c r="CX116" i="2"/>
  <c r="DW116" i="2" s="1"/>
  <c r="CH116" i="2"/>
  <c r="DG116" i="2" s="1"/>
  <c r="CD116" i="2"/>
  <c r="CC116" i="2"/>
  <c r="CB116" i="2"/>
  <c r="CA116" i="2"/>
  <c r="BZ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H116" i="2"/>
  <c r="AZ116" i="2"/>
  <c r="BY116" i="2" s="1"/>
  <c r="AJ116" i="2"/>
  <c r="H116" i="2"/>
  <c r="G116" i="2"/>
  <c r="EE116" i="2" s="1"/>
  <c r="EA115" i="2"/>
  <c r="DZ115" i="2"/>
  <c r="DY115" i="2"/>
  <c r="DX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X115" i="2"/>
  <c r="DW115" i="2" s="1"/>
  <c r="CC115" i="2"/>
  <c r="CB115" i="2"/>
  <c r="CA115" i="2"/>
  <c r="BZ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E115" i="2"/>
  <c r="AZ115" i="2"/>
  <c r="BY115" i="2" s="1"/>
  <c r="AF115" i="2"/>
  <c r="EB115" i="2" s="1"/>
  <c r="H115" i="2"/>
  <c r="EA114" i="2"/>
  <c r="DZ114" i="2"/>
  <c r="DY114" i="2"/>
  <c r="DX114" i="2"/>
  <c r="DV114" i="2"/>
  <c r="DT114" i="2"/>
  <c r="DS114" i="2"/>
  <c r="DR114" i="2"/>
  <c r="DQ114" i="2"/>
  <c r="DP114" i="2"/>
  <c r="DO114" i="2"/>
  <c r="DN114" i="2"/>
  <c r="DM114" i="2"/>
  <c r="DK114" i="2"/>
  <c r="DJ114" i="2"/>
  <c r="DI114" i="2"/>
  <c r="DH114" i="2"/>
  <c r="DG114" i="2"/>
  <c r="DF114" i="2"/>
  <c r="CX114" i="2"/>
  <c r="DW114" i="2" s="1"/>
  <c r="CV114" i="2"/>
  <c r="DU114" i="2" s="1"/>
  <c r="CM114" i="2"/>
  <c r="CC114" i="2"/>
  <c r="CB114" i="2"/>
  <c r="CA114" i="2"/>
  <c r="BZ114" i="2"/>
  <c r="BX114" i="2"/>
  <c r="BV114" i="2"/>
  <c r="BU114" i="2"/>
  <c r="BT114" i="2"/>
  <c r="BS114" i="2"/>
  <c r="BR114" i="2"/>
  <c r="BQ114" i="2"/>
  <c r="BP114" i="2"/>
  <c r="BO114" i="2"/>
  <c r="BM114" i="2"/>
  <c r="BL114" i="2"/>
  <c r="BK114" i="2"/>
  <c r="BJ114" i="2"/>
  <c r="BI114" i="2"/>
  <c r="BH114" i="2"/>
  <c r="AZ114" i="2"/>
  <c r="BY114" i="2" s="1"/>
  <c r="AX114" i="2"/>
  <c r="BW114" i="2" s="1"/>
  <c r="AO114" i="2"/>
  <c r="AF114" i="2"/>
  <c r="EB114" i="2" s="1"/>
  <c r="P114" i="2"/>
  <c r="H114" i="2"/>
  <c r="EA113" i="2"/>
  <c r="DZ113" i="2"/>
  <c r="DY113" i="2"/>
  <c r="DW113" i="2"/>
  <c r="DV113" i="2"/>
  <c r="DU113" i="2"/>
  <c r="DT113" i="2"/>
  <c r="DS113" i="2"/>
  <c r="DR113" i="2"/>
  <c r="DQ113" i="2"/>
  <c r="DP113" i="2"/>
  <c r="DN113" i="2"/>
  <c r="DM113" i="2"/>
  <c r="DL113" i="2"/>
  <c r="DK113" i="2"/>
  <c r="DJ113" i="2"/>
  <c r="DI113" i="2"/>
  <c r="DH113" i="2"/>
  <c r="DG113" i="2"/>
  <c r="DF113" i="2"/>
  <c r="DC113" i="2"/>
  <c r="CY113" i="2"/>
  <c r="CP113" i="2"/>
  <c r="CC113" i="2"/>
  <c r="CB113" i="2"/>
  <c r="CA113" i="2"/>
  <c r="BY113" i="2"/>
  <c r="BX113" i="2"/>
  <c r="BW113" i="2"/>
  <c r="BV113" i="2"/>
  <c r="BU113" i="2"/>
  <c r="BT113" i="2"/>
  <c r="BS113" i="2"/>
  <c r="BR113" i="2"/>
  <c r="BP113" i="2"/>
  <c r="BO113" i="2"/>
  <c r="BN113" i="2"/>
  <c r="BM113" i="2"/>
  <c r="BL113" i="2"/>
  <c r="BK113" i="2"/>
  <c r="BJ113" i="2"/>
  <c r="BI113" i="2"/>
  <c r="BH113" i="2"/>
  <c r="BE113" i="2"/>
  <c r="BA113" i="2"/>
  <c r="BZ113" i="2" s="1"/>
  <c r="AR113" i="2"/>
  <c r="AF113" i="2"/>
  <c r="S113" i="2"/>
  <c r="H113" i="2"/>
  <c r="EB112" i="2"/>
  <c r="EA112" i="2"/>
  <c r="DZ112" i="2"/>
  <c r="DY112" i="2"/>
  <c r="DX112" i="2"/>
  <c r="DW112" i="2"/>
  <c r="DV112" i="2"/>
  <c r="DU112" i="2"/>
  <c r="DT112" i="2"/>
  <c r="DS112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EF112" i="2" s="1"/>
  <c r="CD112" i="2"/>
  <c r="CC112" i="2"/>
  <c r="CB112" i="2"/>
  <c r="CA112" i="2"/>
  <c r="BZ112" i="2"/>
  <c r="BY112" i="2"/>
  <c r="BX112" i="2"/>
  <c r="BW112" i="2"/>
  <c r="BV112" i="2"/>
  <c r="BU112" i="2"/>
  <c r="BT112" i="2"/>
  <c r="BS112" i="2"/>
  <c r="BR112" i="2"/>
  <c r="BQ112" i="2"/>
  <c r="BP112" i="2"/>
  <c r="BO112" i="2"/>
  <c r="BN112" i="2"/>
  <c r="BM112" i="2"/>
  <c r="BL112" i="2"/>
  <c r="BK112" i="2"/>
  <c r="BJ112" i="2"/>
  <c r="BI112" i="2"/>
  <c r="BH112" i="2"/>
  <c r="AH112" i="2"/>
  <c r="H112" i="2"/>
  <c r="G112" i="2"/>
  <c r="EE112" i="2" s="1"/>
  <c r="EA111" i="2"/>
  <c r="DZ111" i="2"/>
  <c r="DY111" i="2"/>
  <c r="DX111" i="2"/>
  <c r="DW111" i="2"/>
  <c r="DV111" i="2"/>
  <c r="DU111" i="2"/>
  <c r="DT111" i="2"/>
  <c r="DS111" i="2"/>
  <c r="DR111" i="2"/>
  <c r="DQ111" i="2"/>
  <c r="DO111" i="2"/>
  <c r="DM111" i="2"/>
  <c r="DL111" i="2"/>
  <c r="DK111" i="2"/>
  <c r="DJ111" i="2"/>
  <c r="DI111" i="2"/>
  <c r="DH111" i="2"/>
  <c r="DG111" i="2"/>
  <c r="DF111" i="2"/>
  <c r="DC111" i="2"/>
  <c r="CF111" i="2" s="1"/>
  <c r="EF111" i="2" s="1"/>
  <c r="CC111" i="2"/>
  <c r="CB111" i="2"/>
  <c r="CA111" i="2"/>
  <c r="BZ111" i="2"/>
  <c r="BY111" i="2"/>
  <c r="BX111" i="2"/>
  <c r="BW111" i="2"/>
  <c r="BV111" i="2"/>
  <c r="BU111" i="2"/>
  <c r="BT111" i="2"/>
  <c r="BS111" i="2"/>
  <c r="BQ111" i="2"/>
  <c r="BO111" i="2"/>
  <c r="BN111" i="2"/>
  <c r="BM111" i="2"/>
  <c r="BL111" i="2"/>
  <c r="BK111" i="2"/>
  <c r="BJ111" i="2"/>
  <c r="BI111" i="2"/>
  <c r="BH111" i="2"/>
  <c r="BE111" i="2"/>
  <c r="AH111" i="2" s="1"/>
  <c r="AF111" i="2"/>
  <c r="T111" i="2"/>
  <c r="DP111" i="2" s="1"/>
  <c r="R111" i="2"/>
  <c r="DN111" i="2" s="1"/>
  <c r="H111" i="2"/>
  <c r="EB110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CF110" i="2"/>
  <c r="EF110" i="2" s="1"/>
  <c r="CD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I110" i="2"/>
  <c r="BH110" i="2"/>
  <c r="AH110" i="2"/>
  <c r="H110" i="2"/>
  <c r="G110" i="2"/>
  <c r="EE110" i="2" s="1"/>
  <c r="EA109" i="2"/>
  <c r="DZ109" i="2"/>
  <c r="DY109" i="2"/>
  <c r="DX109" i="2"/>
  <c r="DW109" i="2"/>
  <c r="DV109" i="2"/>
  <c r="DU109" i="2"/>
  <c r="DT109" i="2"/>
  <c r="DS109" i="2"/>
  <c r="DR109" i="2"/>
  <c r="DQ109" i="2"/>
  <c r="DM109" i="2"/>
  <c r="DL109" i="2"/>
  <c r="DJ109" i="2"/>
  <c r="DI109" i="2"/>
  <c r="DH109" i="2"/>
  <c r="DG109" i="2"/>
  <c r="DF109" i="2"/>
  <c r="DC109" i="2"/>
  <c r="CF109" i="2" s="1"/>
  <c r="EF109" i="2" s="1"/>
  <c r="CB109" i="2"/>
  <c r="CA109" i="2"/>
  <c r="BZ109" i="2"/>
  <c r="BY109" i="2"/>
  <c r="BX109" i="2"/>
  <c r="BW109" i="2"/>
  <c r="BV109" i="2"/>
  <c r="BU109" i="2"/>
  <c r="BT109" i="2"/>
  <c r="BS109" i="2"/>
  <c r="BO109" i="2"/>
  <c r="BN109" i="2"/>
  <c r="BL109" i="2"/>
  <c r="BK109" i="2"/>
  <c r="BJ109" i="2"/>
  <c r="BI109" i="2"/>
  <c r="BH109" i="2"/>
  <c r="BE109" i="2"/>
  <c r="BD109" i="2"/>
  <c r="AF109" i="2"/>
  <c r="T109" i="2"/>
  <c r="S109" i="2"/>
  <c r="DO109" i="2" s="1"/>
  <c r="R109" i="2"/>
  <c r="DN109" i="2" s="1"/>
  <c r="O109" i="2"/>
  <c r="DK109" i="2" s="1"/>
  <c r="H109" i="2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L108" i="2"/>
  <c r="DK108" i="2"/>
  <c r="DJ108" i="2"/>
  <c r="DI108" i="2"/>
  <c r="DH108" i="2"/>
  <c r="DG108" i="2"/>
  <c r="DF108" i="2"/>
  <c r="CF108" i="2"/>
  <c r="EF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N108" i="2"/>
  <c r="BM108" i="2"/>
  <c r="BL108" i="2"/>
  <c r="BK108" i="2"/>
  <c r="BJ108" i="2"/>
  <c r="BI108" i="2"/>
  <c r="AI108" i="2"/>
  <c r="BH108" i="2" s="1"/>
  <c r="Q108" i="2"/>
  <c r="BO108" i="2" s="1"/>
  <c r="H108" i="2"/>
  <c r="EB107" i="2"/>
  <c r="EA107" i="2"/>
  <c r="DZ107" i="2"/>
  <c r="DY107" i="2"/>
  <c r="DX107" i="2"/>
  <c r="DW107" i="2"/>
  <c r="DV107" i="2"/>
  <c r="DU107" i="2"/>
  <c r="DT107" i="2"/>
  <c r="DS107" i="2"/>
  <c r="DR107" i="2"/>
  <c r="DQ107" i="2"/>
  <c r="DP107" i="2"/>
  <c r="DO107" i="2"/>
  <c r="DN107" i="2"/>
  <c r="DL107" i="2"/>
  <c r="DJ107" i="2"/>
  <c r="DI107" i="2"/>
  <c r="DH107" i="2"/>
  <c r="DG107" i="2"/>
  <c r="DF107" i="2"/>
  <c r="CF107" i="2"/>
  <c r="EF107" i="2" s="1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N107" i="2"/>
  <c r="BL107" i="2"/>
  <c r="BK107" i="2"/>
  <c r="BJ107" i="2"/>
  <c r="BI107" i="2"/>
  <c r="BH107" i="2"/>
  <c r="AH107" i="2"/>
  <c r="Q107" i="2"/>
  <c r="BO107" i="2" s="1"/>
  <c r="O107" i="2"/>
  <c r="H107" i="2"/>
  <c r="EB106" i="2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L106" i="2"/>
  <c r="DK106" i="2"/>
  <c r="DJ106" i="2"/>
  <c r="DI106" i="2"/>
  <c r="DH106" i="2"/>
  <c r="DG106" i="2"/>
  <c r="CG106" i="2"/>
  <c r="DF106" i="2" s="1"/>
  <c r="CD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N106" i="2"/>
  <c r="BM106" i="2"/>
  <c r="BL106" i="2"/>
  <c r="BK106" i="2"/>
  <c r="BJ106" i="2"/>
  <c r="BI106" i="2"/>
  <c r="AP106" i="2"/>
  <c r="AP134" i="2" s="1"/>
  <c r="AI106" i="2"/>
  <c r="BH106" i="2" s="1"/>
  <c r="Q106" i="2"/>
  <c r="H106" i="2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M105" i="2"/>
  <c r="DL105" i="2"/>
  <c r="DK105" i="2"/>
  <c r="DJ105" i="2"/>
  <c r="DI105" i="2"/>
  <c r="DH105" i="2"/>
  <c r="DG105" i="2"/>
  <c r="DF105" i="2"/>
  <c r="CQ105" i="2"/>
  <c r="DP105" i="2" s="1"/>
  <c r="CP105" i="2"/>
  <c r="CO105" i="2"/>
  <c r="DN105" i="2" s="1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O105" i="2"/>
  <c r="BN105" i="2"/>
  <c r="BM105" i="2"/>
  <c r="BL105" i="2"/>
  <c r="BK105" i="2"/>
  <c r="BJ105" i="2"/>
  <c r="BI105" i="2"/>
  <c r="BH105" i="2"/>
  <c r="AS105" i="2"/>
  <c r="BR105" i="2" s="1"/>
  <c r="AR105" i="2"/>
  <c r="AQ105" i="2"/>
  <c r="S105" i="2"/>
  <c r="H105" i="2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J104" i="2"/>
  <c r="DI104" i="2"/>
  <c r="DH104" i="2"/>
  <c r="DG104" i="2"/>
  <c r="DF104" i="2"/>
  <c r="CF104" i="2"/>
  <c r="EF104" i="2" s="1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L104" i="2"/>
  <c r="BK104" i="2"/>
  <c r="BJ104" i="2"/>
  <c r="BI104" i="2"/>
  <c r="BH104" i="2"/>
  <c r="AH104" i="2"/>
  <c r="AF104" i="2"/>
  <c r="CD104" i="2" s="1"/>
  <c r="H104" i="2"/>
  <c r="EA103" i="2"/>
  <c r="DZ103" i="2"/>
  <c r="DY103" i="2"/>
  <c r="DX103" i="2"/>
  <c r="DV103" i="2"/>
  <c r="DU103" i="2"/>
  <c r="DT103" i="2"/>
  <c r="DS103" i="2"/>
  <c r="DR103" i="2"/>
  <c r="DM103" i="2"/>
  <c r="DL103" i="2"/>
  <c r="DK103" i="2"/>
  <c r="DJ103" i="2"/>
  <c r="DI103" i="2"/>
  <c r="DH103" i="2"/>
  <c r="DG103" i="2"/>
  <c r="DC103" i="2"/>
  <c r="CX103" i="2"/>
  <c r="DW103" i="2" s="1"/>
  <c r="CR103" i="2"/>
  <c r="CQ103" i="2"/>
  <c r="CP103" i="2"/>
  <c r="CO103" i="2"/>
  <c r="CG103" i="2"/>
  <c r="CB103" i="2"/>
  <c r="CA103" i="2"/>
  <c r="BZ103" i="2"/>
  <c r="BX103" i="2"/>
  <c r="BW103" i="2"/>
  <c r="BV103" i="2"/>
  <c r="BU103" i="2"/>
  <c r="BO103" i="2"/>
  <c r="BN103" i="2"/>
  <c r="BM103" i="2"/>
  <c r="BL103" i="2"/>
  <c r="BK103" i="2"/>
  <c r="BJ103" i="2"/>
  <c r="BI103" i="2"/>
  <c r="BE103" i="2"/>
  <c r="BD103" i="2"/>
  <c r="AZ103" i="2"/>
  <c r="AU103" i="2"/>
  <c r="BT103" i="2" s="1"/>
  <c r="AT103" i="2"/>
  <c r="BS103" i="2" s="1"/>
  <c r="AS103" i="2"/>
  <c r="AR103" i="2"/>
  <c r="AQ103" i="2"/>
  <c r="AI103" i="2"/>
  <c r="AF103" i="2"/>
  <c r="T103" i="2"/>
  <c r="S103" i="2"/>
  <c r="R103" i="2"/>
  <c r="H103" i="2"/>
  <c r="EB102" i="2"/>
  <c r="EA102" i="2"/>
  <c r="DZ102" i="2"/>
  <c r="DY102" i="2"/>
  <c r="DW102" i="2"/>
  <c r="DV102" i="2"/>
  <c r="DU102" i="2"/>
  <c r="DT102" i="2"/>
  <c r="DS102" i="2"/>
  <c r="DR102" i="2"/>
  <c r="DQ102" i="2"/>
  <c r="DP102" i="2"/>
  <c r="DO102" i="2"/>
  <c r="DN102" i="2"/>
  <c r="DL102" i="2"/>
  <c r="DK102" i="2"/>
  <c r="DJ102" i="2"/>
  <c r="DI102" i="2"/>
  <c r="DH102" i="2"/>
  <c r="DG102" i="2"/>
  <c r="DF102" i="2"/>
  <c r="CN102" i="2"/>
  <c r="CD102" i="2"/>
  <c r="CC102" i="2"/>
  <c r="CB102" i="2"/>
  <c r="CA102" i="2"/>
  <c r="BY102" i="2"/>
  <c r="BX102" i="2"/>
  <c r="BW102" i="2"/>
  <c r="BV102" i="2"/>
  <c r="BU102" i="2"/>
  <c r="BT102" i="2"/>
  <c r="BS102" i="2"/>
  <c r="BR102" i="2"/>
  <c r="BQ102" i="2"/>
  <c r="BP102" i="2"/>
  <c r="BN102" i="2"/>
  <c r="BM102" i="2"/>
  <c r="BL102" i="2"/>
  <c r="BK102" i="2"/>
  <c r="BJ102" i="2"/>
  <c r="BI102" i="2"/>
  <c r="BH102" i="2"/>
  <c r="AP102" i="2"/>
  <c r="AB102" i="2"/>
  <c r="DX102" i="2" s="1"/>
  <c r="Q102" i="2"/>
  <c r="H102" i="2"/>
  <c r="EA101" i="2"/>
  <c r="DZ101" i="2"/>
  <c r="DY101" i="2"/>
  <c r="DX101" i="2"/>
  <c r="DV101" i="2"/>
  <c r="DU101" i="2"/>
  <c r="DT101" i="2"/>
  <c r="DS101" i="2"/>
  <c r="DR101" i="2"/>
  <c r="DQ101" i="2"/>
  <c r="DP101" i="2"/>
  <c r="DN101" i="2"/>
  <c r="DM101" i="2"/>
  <c r="DL101" i="2"/>
  <c r="DK101" i="2"/>
  <c r="DJ101" i="2"/>
  <c r="DI101" i="2"/>
  <c r="DH101" i="2"/>
  <c r="DG101" i="2"/>
  <c r="DF101" i="2"/>
  <c r="DC101" i="2"/>
  <c r="CB101" i="2"/>
  <c r="CA101" i="2"/>
  <c r="BZ101" i="2"/>
  <c r="BX101" i="2"/>
  <c r="BW101" i="2"/>
  <c r="BV101" i="2"/>
  <c r="BU101" i="2"/>
  <c r="BT101" i="2"/>
  <c r="BS101" i="2"/>
  <c r="BR101" i="2"/>
  <c r="BP101" i="2"/>
  <c r="BO101" i="2"/>
  <c r="BN101" i="2"/>
  <c r="BM101" i="2"/>
  <c r="BL101" i="2"/>
  <c r="BK101" i="2"/>
  <c r="BJ101" i="2"/>
  <c r="BI101" i="2"/>
  <c r="BH101" i="2"/>
  <c r="BE101" i="2"/>
  <c r="BD101" i="2"/>
  <c r="CC101" i="2" s="1"/>
  <c r="AZ101" i="2"/>
  <c r="AF101" i="2"/>
  <c r="AA101" i="2"/>
  <c r="DW101" i="2" s="1"/>
  <c r="S101" i="2"/>
  <c r="DO101" i="2" s="1"/>
  <c r="H101" i="2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EF100" i="2" s="1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H100" i="2"/>
  <c r="G100" i="2"/>
  <c r="EE100" i="2" s="1"/>
  <c r="EB99" i="2"/>
  <c r="EA99" i="2"/>
  <c r="DZ99" i="2"/>
  <c r="DY99" i="2"/>
  <c r="DX99" i="2"/>
  <c r="DW99" i="2"/>
  <c r="DV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F99" i="2"/>
  <c r="EF99" i="2" s="1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AH99" i="2"/>
  <c r="H99" i="2"/>
  <c r="G99" i="2"/>
  <c r="EE99" i="2" s="1"/>
  <c r="EB98" i="2"/>
  <c r="DZ98" i="2"/>
  <c r="DY98" i="2"/>
  <c r="DV98" i="2"/>
  <c r="DU98" i="2"/>
  <c r="DR98" i="2"/>
  <c r="DQ98" i="2"/>
  <c r="DM98" i="2"/>
  <c r="DL98" i="2"/>
  <c r="DK98" i="2"/>
  <c r="DI98" i="2"/>
  <c r="DH98" i="2"/>
  <c r="DG98" i="2"/>
  <c r="CK98" i="2"/>
  <c r="DJ98" i="2" s="1"/>
  <c r="CG98" i="2"/>
  <c r="CB98" i="2"/>
  <c r="CA98" i="2"/>
  <c r="BX98" i="2"/>
  <c r="BW98" i="2"/>
  <c r="BT98" i="2"/>
  <c r="BS98" i="2"/>
  <c r="BO98" i="2"/>
  <c r="BN98" i="2"/>
  <c r="BM98" i="2"/>
  <c r="BK98" i="2"/>
  <c r="BJ98" i="2"/>
  <c r="BI98" i="2"/>
  <c r="BE98" i="2"/>
  <c r="AW98" i="2"/>
  <c r="AV98" i="2"/>
  <c r="AQ98" i="2"/>
  <c r="AM98" i="2"/>
  <c r="AI98" i="2"/>
  <c r="AE98" i="2"/>
  <c r="AB98" i="2"/>
  <c r="BZ98" i="2" s="1"/>
  <c r="AA98" i="2"/>
  <c r="X98" i="2"/>
  <c r="DT98" i="2" s="1"/>
  <c r="W98" i="2"/>
  <c r="T98" i="2"/>
  <c r="BR98" i="2" s="1"/>
  <c r="S98" i="2"/>
  <c r="DO98" i="2" s="1"/>
  <c r="R98" i="2"/>
  <c r="H98" i="2"/>
  <c r="DB97" i="2"/>
  <c r="DA97" i="2"/>
  <c r="CV97" i="2"/>
  <c r="CU97" i="2"/>
  <c r="CT97" i="2"/>
  <c r="CS97" i="2"/>
  <c r="CR97" i="2"/>
  <c r="CQ97" i="2"/>
  <c r="CP97" i="2"/>
  <c r="CO97" i="2"/>
  <c r="CN97" i="2"/>
  <c r="CM97" i="2"/>
  <c r="CL97" i="2"/>
  <c r="CK97" i="2"/>
  <c r="CJ97" i="2"/>
  <c r="CI97" i="2"/>
  <c r="CH97" i="2"/>
  <c r="CG97" i="2"/>
  <c r="BD97" i="2"/>
  <c r="BC97" i="2"/>
  <c r="AX97" i="2"/>
  <c r="AW97" i="2"/>
  <c r="AV97" i="2"/>
  <c r="AU97" i="2"/>
  <c r="AT97" i="2"/>
  <c r="AS97" i="2"/>
  <c r="AR97" i="2"/>
  <c r="AQ97" i="2"/>
  <c r="AP97" i="2"/>
  <c r="AO97" i="2"/>
  <c r="AN97" i="2"/>
  <c r="AM97" i="2"/>
  <c r="AJ97" i="2"/>
  <c r="AE97" i="2"/>
  <c r="AD97" i="2"/>
  <c r="AB97" i="2"/>
  <c r="AA97" i="2"/>
  <c r="Z97" i="2"/>
  <c r="Y97" i="2"/>
  <c r="X97" i="2"/>
  <c r="W97" i="2"/>
  <c r="V97" i="2"/>
  <c r="U97" i="2"/>
  <c r="T97" i="2"/>
  <c r="S97" i="2"/>
  <c r="R97" i="2"/>
  <c r="Q97" i="2"/>
  <c r="P97" i="2"/>
  <c r="O97" i="2"/>
  <c r="N97" i="2"/>
  <c r="M97" i="2"/>
  <c r="L97" i="2"/>
  <c r="K97" i="2"/>
  <c r="EB96" i="2"/>
  <c r="EA96" i="2"/>
  <c r="DZ96" i="2"/>
  <c r="DY96" i="2"/>
  <c r="DX96" i="2"/>
  <c r="DW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CW96" i="2"/>
  <c r="DV96" i="2" s="1"/>
  <c r="CD96" i="2"/>
  <c r="CC96" i="2"/>
  <c r="CB96" i="2"/>
  <c r="CA96" i="2"/>
  <c r="BZ96" i="2"/>
  <c r="BY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AY96" i="2"/>
  <c r="BX96" i="2" s="1"/>
  <c r="H96" i="2"/>
  <c r="G96" i="2"/>
  <c r="EE96" i="2" s="1"/>
  <c r="EA95" i="2"/>
  <c r="DZ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DC95" i="2"/>
  <c r="CZ95" i="2"/>
  <c r="DY95" i="2" s="1"/>
  <c r="CY95" i="2"/>
  <c r="CY135" i="2" s="1"/>
  <c r="CX95" i="2"/>
  <c r="CX135" i="2" s="1"/>
  <c r="CW95" i="2"/>
  <c r="DV95" i="2" s="1"/>
  <c r="CC95" i="2"/>
  <c r="CB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J95" i="2"/>
  <c r="BI95" i="2"/>
  <c r="BH95" i="2"/>
  <c r="BE95" i="2"/>
  <c r="BB95" i="2"/>
  <c r="CA95" i="2" s="1"/>
  <c r="BA95" i="2"/>
  <c r="BA135" i="2" s="1"/>
  <c r="AZ95" i="2"/>
  <c r="AZ135" i="2" s="1"/>
  <c r="AY95" i="2"/>
  <c r="BX95" i="2" s="1"/>
  <c r="AL95" i="2"/>
  <c r="AF95" i="2"/>
  <c r="EB95" i="2" s="1"/>
  <c r="H95" i="2"/>
  <c r="EB94" i="2"/>
  <c r="EA94" i="2"/>
  <c r="DZ94" i="2"/>
  <c r="DX94" i="2"/>
  <c r="DW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CZ94" i="2"/>
  <c r="CF94" i="2" s="1"/>
  <c r="EF94" i="2" s="1"/>
  <c r="CD94" i="2"/>
  <c r="CC94" i="2"/>
  <c r="CB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B94" i="2"/>
  <c r="AH94" i="2" s="1"/>
  <c r="J94" i="2"/>
  <c r="H94" i="2"/>
  <c r="EB93" i="2"/>
  <c r="EA93" i="2"/>
  <c r="DZ93" i="2"/>
  <c r="DY93" i="2"/>
  <c r="DX93" i="2"/>
  <c r="DW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W93" i="2"/>
  <c r="CD93" i="2"/>
  <c r="CC93" i="2"/>
  <c r="CB93" i="2"/>
  <c r="CA93" i="2"/>
  <c r="BZ93" i="2"/>
  <c r="BY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AY93" i="2"/>
  <c r="H93" i="2"/>
  <c r="G93" i="2"/>
  <c r="EE93" i="2" s="1"/>
  <c r="EB92" i="2"/>
  <c r="EA92" i="2"/>
  <c r="DZ92" i="2"/>
  <c r="DY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F92" i="2"/>
  <c r="EF92" i="2" s="1"/>
  <c r="CD92" i="2"/>
  <c r="CC92" i="2"/>
  <c r="CB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B92" i="2"/>
  <c r="H92" i="2"/>
  <c r="G92" i="2"/>
  <c r="EB91" i="2"/>
  <c r="EA91" i="2"/>
  <c r="DZ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CZ91" i="2"/>
  <c r="CF91" i="2" s="1"/>
  <c r="EF91" i="2" s="1"/>
  <c r="CD91" i="2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B91" i="2"/>
  <c r="AH91" i="2" s="1"/>
  <c r="AC91" i="2"/>
  <c r="AC135" i="2" s="1"/>
  <c r="H91" i="2"/>
  <c r="EA90" i="2"/>
  <c r="DZ90" i="2"/>
  <c r="DY90" i="2"/>
  <c r="DX90" i="2"/>
  <c r="DW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DC90" i="2"/>
  <c r="CF90" i="2" s="1"/>
  <c r="EF90" i="2" s="1"/>
  <c r="CC90" i="2"/>
  <c r="CB90" i="2"/>
  <c r="BZ90" i="2"/>
  <c r="BY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E90" i="2"/>
  <c r="BB90" i="2"/>
  <c r="AF90" i="2"/>
  <c r="H90" i="2"/>
  <c r="EA89" i="2"/>
  <c r="DZ89" i="2"/>
  <c r="DY89" i="2"/>
  <c r="DX89" i="2"/>
  <c r="DW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DV89" i="2" s="1"/>
  <c r="CC89" i="2"/>
  <c r="CB89" i="2"/>
  <c r="CA89" i="2"/>
  <c r="BZ89" i="2"/>
  <c r="BY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I89" i="2"/>
  <c r="AY89" i="2"/>
  <c r="BX89" i="2" s="1"/>
  <c r="AK89" i="2"/>
  <c r="AI89" i="2"/>
  <c r="AF89" i="2"/>
  <c r="G89" i="2" s="1"/>
  <c r="EE89" i="2" s="1"/>
  <c r="H89" i="2"/>
  <c r="EB88" i="2"/>
  <c r="EA88" i="2"/>
  <c r="DZ88" i="2"/>
  <c r="DX88" i="2"/>
  <c r="DW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Z88" i="2"/>
  <c r="DY88" i="2" s="1"/>
  <c r="CW88" i="2"/>
  <c r="DV88" i="2" s="1"/>
  <c r="CD88" i="2"/>
  <c r="CC88" i="2"/>
  <c r="CB88" i="2"/>
  <c r="BZ88" i="2"/>
  <c r="BY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BB88" i="2"/>
  <c r="AY88" i="2"/>
  <c r="BX88" i="2" s="1"/>
  <c r="H88" i="2"/>
  <c r="G88" i="2"/>
  <c r="EE88" i="2" s="1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DC87" i="2"/>
  <c r="CF87" i="2" s="1"/>
  <c r="EF87" i="2" s="1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E87" i="2"/>
  <c r="AI87" i="2"/>
  <c r="AF87" i="2"/>
  <c r="H87" i="2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F86" i="2" s="1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H86" i="2"/>
  <c r="G86" i="2"/>
  <c r="EE86" i="2" s="1"/>
  <c r="EA85" i="2"/>
  <c r="DZ85" i="2"/>
  <c r="DX85" i="2"/>
  <c r="DW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Z85" i="2"/>
  <c r="CF85" i="2" s="1"/>
  <c r="EF85" i="2" s="1"/>
  <c r="CC85" i="2"/>
  <c r="CB85" i="2"/>
  <c r="BZ85" i="2"/>
  <c r="BY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BB85" i="2"/>
  <c r="AH85" i="2" s="1"/>
  <c r="AF85" i="2"/>
  <c r="H85" i="2"/>
  <c r="EB84" i="2"/>
  <c r="EA84" i="2"/>
  <c r="DZ84" i="2"/>
  <c r="DY84" i="2"/>
  <c r="DX84" i="2"/>
  <c r="DW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W84" i="2"/>
  <c r="CF84" i="2" s="1"/>
  <c r="EF84" i="2" s="1"/>
  <c r="CD84" i="2"/>
  <c r="CC84" i="2"/>
  <c r="CB84" i="2"/>
  <c r="CA84" i="2"/>
  <c r="BZ84" i="2"/>
  <c r="BY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AY84" i="2"/>
  <c r="AH84" i="2" s="1"/>
  <c r="H84" i="2"/>
  <c r="G84" i="2"/>
  <c r="EE84" i="2" s="1"/>
  <c r="EB83" i="2"/>
  <c r="EA83" i="2"/>
  <c r="DZ83" i="2"/>
  <c r="DY83" i="2"/>
  <c r="DX83" i="2"/>
  <c r="DW83" i="2"/>
  <c r="DU83" i="2"/>
  <c r="DT83" i="2"/>
  <c r="DS83" i="2"/>
  <c r="DR83" i="2"/>
  <c r="DQ83" i="2"/>
  <c r="DP83" i="2"/>
  <c r="DO83" i="2"/>
  <c r="DN83" i="2"/>
  <c r="DM83" i="2"/>
  <c r="DL83" i="2"/>
  <c r="DK83" i="2"/>
  <c r="DJ83" i="2"/>
  <c r="DI83" i="2"/>
  <c r="DH83" i="2"/>
  <c r="DG83" i="2"/>
  <c r="DF83" i="2"/>
  <c r="CW83" i="2"/>
  <c r="DV83" i="2" s="1"/>
  <c r="CD83" i="2"/>
  <c r="CC83" i="2"/>
  <c r="CB83" i="2"/>
  <c r="CA83" i="2"/>
  <c r="BZ83" i="2"/>
  <c r="BY83" i="2"/>
  <c r="BW83" i="2"/>
  <c r="BV83" i="2"/>
  <c r="BU83" i="2"/>
  <c r="BT83" i="2"/>
  <c r="BS83" i="2"/>
  <c r="BR83" i="2"/>
  <c r="BQ83" i="2"/>
  <c r="BP83" i="2"/>
  <c r="BO83" i="2"/>
  <c r="BN83" i="2"/>
  <c r="BM83" i="2"/>
  <c r="BL83" i="2"/>
  <c r="BK83" i="2"/>
  <c r="BJ83" i="2"/>
  <c r="BI83" i="2"/>
  <c r="BH83" i="2"/>
  <c r="AY83" i="2"/>
  <c r="BX83" i="2" s="1"/>
  <c r="H83" i="2"/>
  <c r="G83" i="2"/>
  <c r="EE83" i="2" s="1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G82" i="2"/>
  <c r="DF82" i="2"/>
  <c r="CF82" i="2"/>
  <c r="EF82" i="2" s="1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I82" i="2"/>
  <c r="BH82" i="2"/>
  <c r="AH82" i="2"/>
  <c r="H82" i="2"/>
  <c r="G82" i="2"/>
  <c r="EE82" i="2" s="1"/>
  <c r="EB81" i="2"/>
  <c r="EA81" i="2"/>
  <c r="DZ81" i="2"/>
  <c r="DY81" i="2"/>
  <c r="DX81" i="2"/>
  <c r="DW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G81" i="2"/>
  <c r="DF81" i="2"/>
  <c r="CF81" i="2"/>
  <c r="EF81" i="2" s="1"/>
  <c r="CD81" i="2"/>
  <c r="CC81" i="2"/>
  <c r="CB81" i="2"/>
  <c r="CA81" i="2"/>
  <c r="BZ81" i="2"/>
  <c r="BY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I81" i="2"/>
  <c r="BH81" i="2"/>
  <c r="AH81" i="2"/>
  <c r="H81" i="2"/>
  <c r="G81" i="2"/>
  <c r="EB80" i="2"/>
  <c r="EA80" i="2"/>
  <c r="DZ80" i="2"/>
  <c r="DY80" i="2"/>
  <c r="DX80" i="2"/>
  <c r="DW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W80" i="2"/>
  <c r="CF80" i="2" s="1"/>
  <c r="EF80" i="2" s="1"/>
  <c r="CD80" i="2"/>
  <c r="CC80" i="2"/>
  <c r="CB80" i="2"/>
  <c r="CA80" i="2"/>
  <c r="BZ80" i="2"/>
  <c r="BY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Y80" i="2"/>
  <c r="AH80" i="2" s="1"/>
  <c r="H80" i="2"/>
  <c r="G80" i="2"/>
  <c r="EE80" i="2" s="1"/>
  <c r="EB79" i="2"/>
  <c r="EA79" i="2"/>
  <c r="DZ79" i="2"/>
  <c r="DY79" i="2"/>
  <c r="DX79" i="2"/>
  <c r="DW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G79" i="2"/>
  <c r="DF79" i="2"/>
  <c r="CW79" i="2"/>
  <c r="DV79" i="2" s="1"/>
  <c r="CD79" i="2"/>
  <c r="CC79" i="2"/>
  <c r="CB79" i="2"/>
  <c r="CA79" i="2"/>
  <c r="BZ79" i="2"/>
  <c r="BY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I79" i="2"/>
  <c r="BH79" i="2"/>
  <c r="AY79" i="2"/>
  <c r="BX79" i="2" s="1"/>
  <c r="H79" i="2"/>
  <c r="G79" i="2"/>
  <c r="EE79" i="2" s="1"/>
  <c r="EB78" i="2"/>
  <c r="EA78" i="2"/>
  <c r="DZ78" i="2"/>
  <c r="DY78" i="2"/>
  <c r="DX78" i="2"/>
  <c r="DW78" i="2"/>
  <c r="DV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G78" i="2"/>
  <c r="DF78" i="2"/>
  <c r="CW78" i="2"/>
  <c r="CF78" i="2" s="1"/>
  <c r="EF78" i="2" s="1"/>
  <c r="CD78" i="2"/>
  <c r="CC78" i="2"/>
  <c r="CB78" i="2"/>
  <c r="CA78" i="2"/>
  <c r="BZ78" i="2"/>
  <c r="BY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I78" i="2"/>
  <c r="BH78" i="2"/>
  <c r="AY78" i="2"/>
  <c r="AH78" i="2" s="1"/>
  <c r="H78" i="2"/>
  <c r="G78" i="2"/>
  <c r="EE78" i="2" s="1"/>
  <c r="DB77" i="2"/>
  <c r="DA77" i="2"/>
  <c r="CZ77" i="2"/>
  <c r="CW77" i="2"/>
  <c r="CU77" i="2"/>
  <c r="CT77" i="2"/>
  <c r="CS77" i="2"/>
  <c r="CR77" i="2"/>
  <c r="CQ77" i="2"/>
  <c r="CP77" i="2"/>
  <c r="CO77" i="2"/>
  <c r="CN77" i="2"/>
  <c r="CM77" i="2"/>
  <c r="CL77" i="2"/>
  <c r="CK77" i="2"/>
  <c r="CI77" i="2"/>
  <c r="CG77" i="2"/>
  <c r="BD77" i="2"/>
  <c r="BC77" i="2"/>
  <c r="BB77" i="2"/>
  <c r="AY77" i="2"/>
  <c r="AW77" i="2"/>
  <c r="AV77" i="2"/>
  <c r="AU77" i="2"/>
  <c r="AT77" i="2"/>
  <c r="AS77" i="2"/>
  <c r="AR77" i="2"/>
  <c r="AQ77" i="2"/>
  <c r="AP77" i="2"/>
  <c r="AO77" i="2"/>
  <c r="AN77" i="2"/>
  <c r="AM77" i="2"/>
  <c r="AK77" i="2"/>
  <c r="AI77" i="2"/>
  <c r="AE77" i="2"/>
  <c r="AD77" i="2"/>
  <c r="AC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J77" i="2"/>
  <c r="EB76" i="2"/>
  <c r="EA76" i="2"/>
  <c r="DZ76" i="2"/>
  <c r="DY76" i="2"/>
  <c r="DX76" i="2"/>
  <c r="DW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D76" i="2"/>
  <c r="CC76" i="2"/>
  <c r="CB76" i="2"/>
  <c r="CA76" i="2"/>
  <c r="BZ76" i="2"/>
  <c r="BY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J76" i="2"/>
  <c r="K76" i="2"/>
  <c r="G76" i="2" s="1"/>
  <c r="EE76" i="2" s="1"/>
  <c r="H76" i="2"/>
  <c r="EB75" i="2"/>
  <c r="EA75" i="2"/>
  <c r="DZ75" i="2"/>
  <c r="DY75" i="2"/>
  <c r="DX75" i="2"/>
  <c r="DW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H75" i="2"/>
  <c r="CF75" i="2" s="1"/>
  <c r="EF75" i="2" s="1"/>
  <c r="CD75" i="2"/>
  <c r="CC75" i="2"/>
  <c r="CB75" i="2"/>
  <c r="CA75" i="2"/>
  <c r="BZ75" i="2"/>
  <c r="BY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AJ75" i="2"/>
  <c r="AH75" i="2" s="1"/>
  <c r="K75" i="2"/>
  <c r="DG75" i="2" s="1"/>
  <c r="H75" i="2"/>
  <c r="EB74" i="2"/>
  <c r="EA74" i="2"/>
  <c r="DZ74" i="2"/>
  <c r="DY74" i="2"/>
  <c r="DX74" i="2"/>
  <c r="DW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H74" i="2"/>
  <c r="DG74" i="2" s="1"/>
  <c r="CD74" i="2"/>
  <c r="CC74" i="2"/>
  <c r="CB74" i="2"/>
  <c r="CA74" i="2"/>
  <c r="BZ74" i="2"/>
  <c r="BY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J74" i="2"/>
  <c r="BI74" i="2" s="1"/>
  <c r="H74" i="2"/>
  <c r="G74" i="2"/>
  <c r="EE74" i="2" s="1"/>
  <c r="EB73" i="2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G73" i="2"/>
  <c r="DF73" i="2"/>
  <c r="CF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AJ73" i="2"/>
  <c r="BI73" i="2" s="1"/>
  <c r="H73" i="2"/>
  <c r="G73" i="2"/>
  <c r="EE73" i="2" s="1"/>
  <c r="EB72" i="2"/>
  <c r="EA72" i="2"/>
  <c r="DZ72" i="2"/>
  <c r="DY72" i="2"/>
  <c r="DX72" i="2"/>
  <c r="DW72" i="2"/>
  <c r="DV72" i="2"/>
  <c r="DU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CD72" i="2"/>
  <c r="CC72" i="2"/>
  <c r="CB72" i="2"/>
  <c r="CA72" i="2"/>
  <c r="BZ72" i="2"/>
  <c r="BY72" i="2"/>
  <c r="BX72" i="2"/>
  <c r="BW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J72" i="2"/>
  <c r="K72" i="2"/>
  <c r="G72" i="2" s="1"/>
  <c r="EE72" i="2" s="1"/>
  <c r="H72" i="2"/>
  <c r="EA71" i="2"/>
  <c r="DZ71" i="2"/>
  <c r="DY71" i="2"/>
  <c r="DX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F71" i="2"/>
  <c r="CX71" i="2"/>
  <c r="DW71" i="2" s="1"/>
  <c r="CH71" i="2"/>
  <c r="CC71" i="2"/>
  <c r="CB71" i="2"/>
  <c r="CA71" i="2"/>
  <c r="BZ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H71" i="2"/>
  <c r="BE71" i="2"/>
  <c r="AZ71" i="2"/>
  <c r="BY71" i="2" s="1"/>
  <c r="AJ71" i="2"/>
  <c r="AF71" i="2"/>
  <c r="K71" i="2"/>
  <c r="H71" i="2"/>
  <c r="EB70" i="2"/>
  <c r="EA70" i="2"/>
  <c r="DZ70" i="2"/>
  <c r="DY70" i="2"/>
  <c r="DX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F70" i="2"/>
  <c r="CH70" i="2"/>
  <c r="CD70" i="2"/>
  <c r="CC70" i="2"/>
  <c r="CB70" i="2"/>
  <c r="CA70" i="2"/>
  <c r="BZ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H70" i="2"/>
  <c r="AZ70" i="2"/>
  <c r="AJ70" i="2"/>
  <c r="BI70" i="2" s="1"/>
  <c r="AA70" i="2"/>
  <c r="H70" i="2"/>
  <c r="EB69" i="2"/>
  <c r="EA69" i="2"/>
  <c r="DZ69" i="2"/>
  <c r="DY69" i="2"/>
  <c r="DX69" i="2"/>
  <c r="DV69" i="2"/>
  <c r="DU69" i="2"/>
  <c r="DT69" i="2"/>
  <c r="DS69" i="2"/>
  <c r="DR69" i="2"/>
  <c r="DQ69" i="2"/>
  <c r="DP69" i="2"/>
  <c r="DO69" i="2"/>
  <c r="DN69" i="2"/>
  <c r="DM69" i="2"/>
  <c r="DL69" i="2"/>
  <c r="DK69" i="2"/>
  <c r="DJ69" i="2"/>
  <c r="DI69" i="2"/>
  <c r="DH69" i="2"/>
  <c r="DF69" i="2"/>
  <c r="CH69" i="2"/>
  <c r="CD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M69" i="2"/>
  <c r="BL69" i="2"/>
  <c r="BK69" i="2"/>
  <c r="BJ69" i="2"/>
  <c r="BH69" i="2"/>
  <c r="AZ69" i="2"/>
  <c r="BY69" i="2" s="1"/>
  <c r="AJ69" i="2"/>
  <c r="H69" i="2"/>
  <c r="G69" i="2"/>
  <c r="EE69" i="2" s="1"/>
  <c r="EB68" i="2"/>
  <c r="EA68" i="2"/>
  <c r="DZ68" i="2"/>
  <c r="DY68" i="2"/>
  <c r="DX68" i="2"/>
  <c r="DV68" i="2"/>
  <c r="DU68" i="2"/>
  <c r="DT68" i="2"/>
  <c r="DS68" i="2"/>
  <c r="DR68" i="2"/>
  <c r="DQ68" i="2"/>
  <c r="DP68" i="2"/>
  <c r="DO68" i="2"/>
  <c r="DN68" i="2"/>
  <c r="DM68" i="2"/>
  <c r="DL68" i="2"/>
  <c r="DK68" i="2"/>
  <c r="DJ68" i="2"/>
  <c r="DI68" i="2"/>
  <c r="DH68" i="2"/>
  <c r="DF68" i="2"/>
  <c r="CH68" i="2"/>
  <c r="CC68" i="2"/>
  <c r="CB68" i="2"/>
  <c r="CA68" i="2"/>
  <c r="BZ68" i="2"/>
  <c r="BX68" i="2"/>
  <c r="BW68" i="2"/>
  <c r="BV68" i="2"/>
  <c r="BU68" i="2"/>
  <c r="BT68" i="2"/>
  <c r="BS68" i="2"/>
  <c r="BR68" i="2"/>
  <c r="BQ68" i="2"/>
  <c r="BP68" i="2"/>
  <c r="BO68" i="2"/>
  <c r="BN68" i="2"/>
  <c r="BM68" i="2"/>
  <c r="BL68" i="2"/>
  <c r="BK68" i="2"/>
  <c r="BJ68" i="2"/>
  <c r="BH68" i="2"/>
  <c r="BE68" i="2"/>
  <c r="CD68" i="2" s="1"/>
  <c r="AZ68" i="2"/>
  <c r="BY68" i="2" s="1"/>
  <c r="AJ68" i="2"/>
  <c r="K68" i="2"/>
  <c r="H68" i="2"/>
  <c r="EA67" i="2"/>
  <c r="DZ67" i="2"/>
  <c r="DY67" i="2"/>
  <c r="DX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DG67" i="2" s="1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Z67" i="2"/>
  <c r="AJ67" i="2"/>
  <c r="AF67" i="2"/>
  <c r="EB67" i="2" s="1"/>
  <c r="AA67" i="2"/>
  <c r="H67" i="2"/>
  <c r="EB66" i="2"/>
  <c r="EA66" i="2"/>
  <c r="DZ66" i="2"/>
  <c r="DY66" i="2"/>
  <c r="DX66" i="2"/>
  <c r="DW66" i="2"/>
  <c r="DV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G66" i="2"/>
  <c r="DF66" i="2"/>
  <c r="CV66" i="2"/>
  <c r="CV139" i="2" s="1"/>
  <c r="CD66" i="2"/>
  <c r="CC66" i="2"/>
  <c r="CB66" i="2"/>
  <c r="CA66" i="2"/>
  <c r="BZ66" i="2"/>
  <c r="BY66" i="2"/>
  <c r="BX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AX66" i="2"/>
  <c r="AX139" i="2" s="1"/>
  <c r="H66" i="2"/>
  <c r="G66" i="2"/>
  <c r="EE66" i="2" s="1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DC65" i="2"/>
  <c r="CF65" i="2" s="1"/>
  <c r="EF65" i="2" s="1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BE65" i="2"/>
  <c r="AH65" i="2" s="1"/>
  <c r="AF65" i="2"/>
  <c r="K65" i="2"/>
  <c r="DG65" i="2" s="1"/>
  <c r="H65" i="2"/>
  <c r="EB64" i="2"/>
  <c r="EA64" i="2"/>
  <c r="DZ64" i="2"/>
  <c r="DY64" i="2"/>
  <c r="DX64" i="2"/>
  <c r="DW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G64" i="2"/>
  <c r="DF64" i="2"/>
  <c r="CF64" i="2"/>
  <c r="EF64" i="2" s="1"/>
  <c r="CD64" i="2"/>
  <c r="CC64" i="2"/>
  <c r="CB64" i="2"/>
  <c r="CA64" i="2"/>
  <c r="BZ64" i="2"/>
  <c r="BY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I64" i="2"/>
  <c r="BH64" i="2"/>
  <c r="AH64" i="2"/>
  <c r="H64" i="2"/>
  <c r="G64" i="2"/>
  <c r="EE64" i="2" s="1"/>
  <c r="EA63" i="2"/>
  <c r="DZ63" i="2"/>
  <c r="DY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DC63" i="2"/>
  <c r="CY63" i="2"/>
  <c r="CY139" i="2" s="1"/>
  <c r="CX63" i="2"/>
  <c r="DW63" i="2" s="1"/>
  <c r="CH63" i="2"/>
  <c r="CC63" i="2"/>
  <c r="CB63" i="2"/>
  <c r="CA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BE63" i="2"/>
  <c r="BA63" i="2"/>
  <c r="BA139" i="2" s="1"/>
  <c r="AZ63" i="2"/>
  <c r="BY63" i="2" s="1"/>
  <c r="AJ63" i="2"/>
  <c r="AF63" i="2"/>
  <c r="AB63" i="2"/>
  <c r="AB139" i="2" s="1"/>
  <c r="K63" i="2"/>
  <c r="H63" i="2"/>
  <c r="EB62" i="2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X62" i="2"/>
  <c r="DW62" i="2" s="1"/>
  <c r="CH62" i="2"/>
  <c r="DG62" i="2" s="1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Z62" i="2"/>
  <c r="BY62" i="2" s="1"/>
  <c r="AJ62" i="2"/>
  <c r="BI62" i="2" s="1"/>
  <c r="H62" i="2"/>
  <c r="G62" i="2"/>
  <c r="EE62" i="2" s="1"/>
  <c r="EB61" i="2"/>
  <c r="EA61" i="2"/>
  <c r="DZ61" i="2"/>
  <c r="DY61" i="2"/>
  <c r="DX61" i="2"/>
  <c r="DW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F61" i="2" s="1"/>
  <c r="EF61" i="2" s="1"/>
  <c r="CD61" i="2"/>
  <c r="CC61" i="2"/>
  <c r="CB61" i="2"/>
  <c r="CA61" i="2"/>
  <c r="BZ61" i="2"/>
  <c r="BY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J61" i="2"/>
  <c r="AH61" i="2" s="1"/>
  <c r="K61" i="2"/>
  <c r="H61" i="2"/>
  <c r="EB60" i="2"/>
  <c r="EA60" i="2"/>
  <c r="DZ60" i="2"/>
  <c r="DY60" i="2"/>
  <c r="DX60" i="2"/>
  <c r="DW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CH60" i="2"/>
  <c r="CD60" i="2"/>
  <c r="CC60" i="2"/>
  <c r="CB60" i="2"/>
  <c r="CA60" i="2"/>
  <c r="BZ60" i="2"/>
  <c r="BY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AJ60" i="2"/>
  <c r="K60" i="2"/>
  <c r="G60" i="2" s="1"/>
  <c r="EE60" i="2" s="1"/>
  <c r="H60" i="2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X59" i="2"/>
  <c r="CH59" i="2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Z59" i="2"/>
  <c r="AJ59" i="2"/>
  <c r="AA59" i="2"/>
  <c r="K59" i="2"/>
  <c r="H59" i="2"/>
  <c r="EB58" i="2"/>
  <c r="EA58" i="2"/>
  <c r="DZ58" i="2"/>
  <c r="DY58" i="2"/>
  <c r="DX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X58" i="2"/>
  <c r="CH58" i="2"/>
  <c r="CD58" i="2"/>
  <c r="CC58" i="2"/>
  <c r="CB58" i="2"/>
  <c r="CA58" i="2"/>
  <c r="BZ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AZ58" i="2"/>
  <c r="AJ58" i="2"/>
  <c r="AA58" i="2"/>
  <c r="K58" i="2"/>
  <c r="H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G57" i="2"/>
  <c r="DF57" i="2"/>
  <c r="CF57" i="2"/>
  <c r="EF57" i="2" s="1"/>
  <c r="CD57" i="2"/>
  <c r="CC57" i="2"/>
  <c r="CB57" i="2"/>
  <c r="CA57" i="2"/>
  <c r="BZ57" i="2"/>
  <c r="BY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I57" i="2"/>
  <c r="BH57" i="2"/>
  <c r="AH57" i="2"/>
  <c r="H57" i="2"/>
  <c r="G57" i="2"/>
  <c r="EE57" i="2" s="1"/>
  <c r="EB56" i="2"/>
  <c r="EA56" i="2"/>
  <c r="DZ56" i="2"/>
  <c r="DY56" i="2"/>
  <c r="DX56" i="2"/>
  <c r="DW56" i="2"/>
  <c r="DV56" i="2"/>
  <c r="DU56" i="2"/>
  <c r="DT56" i="2"/>
  <c r="DS56" i="2"/>
  <c r="DR56" i="2"/>
  <c r="DQ56" i="2"/>
  <c r="DP56" i="2"/>
  <c r="DO56" i="2"/>
  <c r="DN56" i="2"/>
  <c r="DM56" i="2"/>
  <c r="DL56" i="2"/>
  <c r="DK56" i="2"/>
  <c r="DJ56" i="2"/>
  <c r="DI56" i="2"/>
  <c r="DH56" i="2"/>
  <c r="DF56" i="2"/>
  <c r="CH56" i="2"/>
  <c r="CF56" i="2" s="1"/>
  <c r="EF56" i="2" s="1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H56" i="2"/>
  <c r="AJ56" i="2"/>
  <c r="AH56" i="2" s="1"/>
  <c r="K56" i="2"/>
  <c r="G56" i="2" s="1"/>
  <c r="EE56" i="2" s="1"/>
  <c r="H56" i="2"/>
  <c r="EB55" i="2"/>
  <c r="EA55" i="2"/>
  <c r="DZ55" i="2"/>
  <c r="DY55" i="2"/>
  <c r="DX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X55" i="2"/>
  <c r="CH55" i="2"/>
  <c r="CD55" i="2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Z55" i="2"/>
  <c r="AJ55" i="2"/>
  <c r="K55" i="2"/>
  <c r="H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M54" i="2"/>
  <c r="DL54" i="2"/>
  <c r="DK54" i="2"/>
  <c r="DJ54" i="2"/>
  <c r="DI54" i="2"/>
  <c r="DH54" i="2"/>
  <c r="DF54" i="2"/>
  <c r="DC54" i="2"/>
  <c r="CH54" i="2"/>
  <c r="CC54" i="2"/>
  <c r="CB54" i="2"/>
  <c r="CA54" i="2"/>
  <c r="BZ54" i="2"/>
  <c r="BY54" i="2"/>
  <c r="BX54" i="2"/>
  <c r="BW54" i="2"/>
  <c r="BV54" i="2"/>
  <c r="BU54" i="2"/>
  <c r="BT54" i="2"/>
  <c r="BS54" i="2"/>
  <c r="BR54" i="2"/>
  <c r="BQ54" i="2"/>
  <c r="BP54" i="2"/>
  <c r="BO54" i="2"/>
  <c r="BN54" i="2"/>
  <c r="BM54" i="2"/>
  <c r="BL54" i="2"/>
  <c r="BK54" i="2"/>
  <c r="BJ54" i="2"/>
  <c r="BH54" i="2"/>
  <c r="BE54" i="2"/>
  <c r="AJ54" i="2"/>
  <c r="AF54" i="2"/>
  <c r="G54" i="2" s="1"/>
  <c r="EE54" i="2" s="1"/>
  <c r="K54" i="2"/>
  <c r="H54" i="2"/>
  <c r="EB53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F53" i="2"/>
  <c r="EF53" i="2" s="1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AH53" i="2"/>
  <c r="K53" i="2"/>
  <c r="H53" i="2"/>
  <c r="EB52" i="2"/>
  <c r="EA52" i="2"/>
  <c r="DZ52" i="2"/>
  <c r="DY52" i="2"/>
  <c r="DX52" i="2"/>
  <c r="DW52" i="2"/>
  <c r="DV52" i="2"/>
  <c r="DU52" i="2"/>
  <c r="DT52" i="2"/>
  <c r="DS52" i="2"/>
  <c r="DR52" i="2"/>
  <c r="DQ52" i="2"/>
  <c r="DP52" i="2"/>
  <c r="DO52" i="2"/>
  <c r="DN52" i="2"/>
  <c r="DM52" i="2"/>
  <c r="DL52" i="2"/>
  <c r="DK52" i="2"/>
  <c r="DJ52" i="2"/>
  <c r="DI52" i="2"/>
  <c r="DH52" i="2"/>
  <c r="DF52" i="2"/>
  <c r="CH52" i="2"/>
  <c r="CD52" i="2"/>
  <c r="CC52" i="2"/>
  <c r="CB52" i="2"/>
  <c r="CA52" i="2"/>
  <c r="BZ52" i="2"/>
  <c r="BY52" i="2"/>
  <c r="BX52" i="2"/>
  <c r="BW52" i="2"/>
  <c r="BV52" i="2"/>
  <c r="BU52" i="2"/>
  <c r="BT52" i="2"/>
  <c r="BS52" i="2"/>
  <c r="BR52" i="2"/>
  <c r="BQ52" i="2"/>
  <c r="BP52" i="2"/>
  <c r="BO52" i="2"/>
  <c r="BN52" i="2"/>
  <c r="BM52" i="2"/>
  <c r="BL52" i="2"/>
  <c r="BK52" i="2"/>
  <c r="BJ52" i="2"/>
  <c r="BH52" i="2"/>
  <c r="AJ52" i="2"/>
  <c r="K52" i="2"/>
  <c r="G52" i="2" s="1"/>
  <c r="EE52" i="2" s="1"/>
  <c r="H52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M51" i="2"/>
  <c r="DL51" i="2"/>
  <c r="DK51" i="2"/>
  <c r="DJ51" i="2"/>
  <c r="DI51" i="2"/>
  <c r="DH51" i="2"/>
  <c r="DF51" i="2"/>
  <c r="DC51" i="2"/>
  <c r="CH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O51" i="2"/>
  <c r="BN51" i="2"/>
  <c r="BM51" i="2"/>
  <c r="BL51" i="2"/>
  <c r="BK51" i="2"/>
  <c r="BJ51" i="2"/>
  <c r="BH51" i="2"/>
  <c r="BE51" i="2"/>
  <c r="AJ51" i="2"/>
  <c r="AF51" i="2"/>
  <c r="G51" i="2" s="1"/>
  <c r="EE51" i="2" s="1"/>
  <c r="H51" i="2"/>
  <c r="DB50" i="2"/>
  <c r="CZ50" i="2"/>
  <c r="CX50" i="2"/>
  <c r="CW50" i="2"/>
  <c r="CU50" i="2"/>
  <c r="CT50" i="2"/>
  <c r="CS50" i="2"/>
  <c r="CR50" i="2"/>
  <c r="CM50" i="2"/>
  <c r="CL50" i="2"/>
  <c r="CK50" i="2"/>
  <c r="CJ50" i="2"/>
  <c r="CI50" i="2"/>
  <c r="CG50" i="2"/>
  <c r="BD50" i="2"/>
  <c r="BB50" i="2"/>
  <c r="AZ50" i="2"/>
  <c r="AY50" i="2"/>
  <c r="AW50" i="2"/>
  <c r="AV50" i="2"/>
  <c r="AU50" i="2"/>
  <c r="AT50" i="2"/>
  <c r="AO50" i="2"/>
  <c r="AN50" i="2"/>
  <c r="AM50" i="2"/>
  <c r="AL50" i="2"/>
  <c r="AK50" i="2"/>
  <c r="AI50" i="2"/>
  <c r="AE50" i="2"/>
  <c r="AC50" i="2"/>
  <c r="AA50" i="2"/>
  <c r="Z50" i="2"/>
  <c r="X50" i="2"/>
  <c r="W50" i="2"/>
  <c r="V50" i="2"/>
  <c r="U50" i="2"/>
  <c r="P50" i="2"/>
  <c r="O50" i="2"/>
  <c r="N50" i="2"/>
  <c r="M50" i="2"/>
  <c r="L50" i="2"/>
  <c r="J50" i="2"/>
  <c r="EA49" i="2"/>
  <c r="DZ49" i="2"/>
  <c r="DY49" i="2"/>
  <c r="DW49" i="2"/>
  <c r="DV49" i="2"/>
  <c r="DU49" i="2"/>
  <c r="DT49" i="2"/>
  <c r="DS49" i="2"/>
  <c r="DR49" i="2"/>
  <c r="DQ49" i="2"/>
  <c r="DP49" i="2"/>
  <c r="DO49" i="2"/>
  <c r="DN49" i="2"/>
  <c r="DL49" i="2"/>
  <c r="DK49" i="2"/>
  <c r="DJ49" i="2"/>
  <c r="DI49" i="2"/>
  <c r="DH49" i="2"/>
  <c r="DF49" i="2"/>
  <c r="DC49" i="2"/>
  <c r="CY49" i="2"/>
  <c r="DX49" i="2" s="1"/>
  <c r="CN49" i="2"/>
  <c r="CH49" i="2"/>
  <c r="DG49" i="2" s="1"/>
  <c r="CC49" i="2"/>
  <c r="CB49" i="2"/>
  <c r="CA49" i="2"/>
  <c r="BY49" i="2"/>
  <c r="BX49" i="2"/>
  <c r="BW49" i="2"/>
  <c r="BV49" i="2"/>
  <c r="BU49" i="2"/>
  <c r="BT49" i="2"/>
  <c r="BS49" i="2"/>
  <c r="BR49" i="2"/>
  <c r="BQ49" i="2"/>
  <c r="BP49" i="2"/>
  <c r="BN49" i="2"/>
  <c r="BM49" i="2"/>
  <c r="BL49" i="2"/>
  <c r="BK49" i="2"/>
  <c r="BJ49" i="2"/>
  <c r="BH49" i="2"/>
  <c r="BE49" i="2"/>
  <c r="BA49" i="2"/>
  <c r="BZ49" i="2" s="1"/>
  <c r="AP49" i="2"/>
  <c r="AJ49" i="2"/>
  <c r="BI49" i="2" s="1"/>
  <c r="AF49" i="2"/>
  <c r="Q49" i="2"/>
  <c r="H49" i="2"/>
  <c r="EA48" i="2"/>
  <c r="DZ48" i="2"/>
  <c r="DY48" i="2"/>
  <c r="DW48" i="2"/>
  <c r="DV48" i="2"/>
  <c r="DU48" i="2"/>
  <c r="DT48" i="2"/>
  <c r="DS48" i="2"/>
  <c r="DR48" i="2"/>
  <c r="DQ48" i="2"/>
  <c r="DP48" i="2"/>
  <c r="DO48" i="2"/>
  <c r="DN48" i="2"/>
  <c r="DL48" i="2"/>
  <c r="DK48" i="2"/>
  <c r="DJ48" i="2"/>
  <c r="DI48" i="2"/>
  <c r="DH48" i="2"/>
  <c r="DF48" i="2"/>
  <c r="DC48" i="2"/>
  <c r="CY48" i="2"/>
  <c r="DX48" i="2" s="1"/>
  <c r="CN48" i="2"/>
  <c r="CH48" i="2"/>
  <c r="CC48" i="2"/>
  <c r="CB48" i="2"/>
  <c r="CA48" i="2"/>
  <c r="BY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H48" i="2"/>
  <c r="BE48" i="2"/>
  <c r="BA48" i="2"/>
  <c r="BZ48" i="2" s="1"/>
  <c r="AP48" i="2"/>
  <c r="AJ48" i="2"/>
  <c r="AF48" i="2"/>
  <c r="CD48" i="2" s="1"/>
  <c r="Q48" i="2"/>
  <c r="K48" i="2"/>
  <c r="H48" i="2"/>
  <c r="EA47" i="2"/>
  <c r="DZ47" i="2"/>
  <c r="DY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F47" i="2"/>
  <c r="DC47" i="2"/>
  <c r="EB47" i="2" s="1"/>
  <c r="CY47" i="2"/>
  <c r="CH47" i="2"/>
  <c r="CC47" i="2"/>
  <c r="CB47" i="2"/>
  <c r="CA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H47" i="2"/>
  <c r="BE47" i="2"/>
  <c r="CD47" i="2" s="1"/>
  <c r="BA47" i="2"/>
  <c r="AJ47" i="2"/>
  <c r="AB47" i="2"/>
  <c r="Q47" i="2"/>
  <c r="DM47" i="2" s="1"/>
  <c r="K47" i="2"/>
  <c r="K137" i="2" s="1"/>
  <c r="H47" i="2"/>
  <c r="EA46" i="2"/>
  <c r="DZ46" i="2"/>
  <c r="DY46" i="2"/>
  <c r="DW46" i="2"/>
  <c r="DV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DC46" i="2"/>
  <c r="EB46" i="2" s="1"/>
  <c r="CY46" i="2"/>
  <c r="DX46" i="2" s="1"/>
  <c r="CN46" i="2"/>
  <c r="CD46" i="2"/>
  <c r="CC46" i="2"/>
  <c r="CB46" i="2"/>
  <c r="CA46" i="2"/>
  <c r="BY46" i="2"/>
  <c r="BX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BA46" i="2"/>
  <c r="BZ46" i="2" s="1"/>
  <c r="AX46" i="2"/>
  <c r="AX137" i="2" s="1"/>
  <c r="AP46" i="2"/>
  <c r="Y46" i="2"/>
  <c r="Q46" i="2"/>
  <c r="H46" i="2"/>
  <c r="EB45" i="2"/>
  <c r="EA45" i="2"/>
  <c r="DZ45" i="2"/>
  <c r="DY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G45" i="2"/>
  <c r="DF45" i="2"/>
  <c r="CY45" i="2"/>
  <c r="DX45" i="2" s="1"/>
  <c r="CN45" i="2"/>
  <c r="CD45" i="2"/>
  <c r="CC45" i="2"/>
  <c r="CB45" i="2"/>
  <c r="CA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I45" i="2"/>
  <c r="BH45" i="2"/>
  <c r="BA45" i="2"/>
  <c r="BZ45" i="2" s="1"/>
  <c r="AP45" i="2"/>
  <c r="Q45" i="2"/>
  <c r="H45" i="2"/>
  <c r="EB44" i="2"/>
  <c r="EA44" i="2"/>
  <c r="DZ44" i="2"/>
  <c r="DY44" i="2"/>
  <c r="DX44" i="2"/>
  <c r="DW44" i="2"/>
  <c r="DV44" i="2"/>
  <c r="DU44" i="2"/>
  <c r="DT44" i="2"/>
  <c r="DS44" i="2"/>
  <c r="DR44" i="2"/>
  <c r="DQ44" i="2"/>
  <c r="DP44" i="2"/>
  <c r="DO44" i="2"/>
  <c r="DN44" i="2"/>
  <c r="DL44" i="2"/>
  <c r="DK44" i="2"/>
  <c r="DJ44" i="2"/>
  <c r="DI44" i="2"/>
  <c r="DH44" i="2"/>
  <c r="DG44" i="2"/>
  <c r="DF44" i="2"/>
  <c r="CN44" i="2"/>
  <c r="DM44" i="2" s="1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N44" i="2"/>
  <c r="BM44" i="2"/>
  <c r="BL44" i="2"/>
  <c r="BK44" i="2"/>
  <c r="BJ44" i="2"/>
  <c r="BI44" i="2"/>
  <c r="BH44" i="2"/>
  <c r="AP44" i="2"/>
  <c r="BO44" i="2" s="1"/>
  <c r="H44" i="2"/>
  <c r="G44" i="2"/>
  <c r="EE44" i="2" s="1"/>
  <c r="EB43" i="2"/>
  <c r="EA43" i="2"/>
  <c r="DY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DA43" i="2"/>
  <c r="DA137" i="2" s="1"/>
  <c r="CY43" i="2"/>
  <c r="DX43" i="2" s="1"/>
  <c r="CN43" i="2"/>
  <c r="CD43" i="2"/>
  <c r="CC43" i="2"/>
  <c r="CA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C43" i="2"/>
  <c r="BC137" i="2" s="1"/>
  <c r="BA43" i="2"/>
  <c r="BZ43" i="2" s="1"/>
  <c r="AP43" i="2"/>
  <c r="AD43" i="2"/>
  <c r="AD137" i="2" s="1"/>
  <c r="Q43" i="2"/>
  <c r="H43" i="2"/>
  <c r="EB42" i="2"/>
  <c r="EA42" i="2"/>
  <c r="DZ42" i="2"/>
  <c r="DY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Y42" i="2"/>
  <c r="CN42" i="2" s="1"/>
  <c r="CF42" i="2" s="1"/>
  <c r="EF42" i="2" s="1"/>
  <c r="CD42" i="2"/>
  <c r="CC42" i="2"/>
  <c r="CB42" i="2"/>
  <c r="CA42" i="2"/>
  <c r="BY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A42" i="2"/>
  <c r="AP42" i="2"/>
  <c r="AB42" i="2"/>
  <c r="Q42" i="2"/>
  <c r="H42" i="2"/>
  <c r="EB41" i="2"/>
  <c r="EA41" i="2"/>
  <c r="DZ41" i="2"/>
  <c r="DY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CY41" i="2"/>
  <c r="CN41" i="2"/>
  <c r="DM41" i="2" s="1"/>
  <c r="CD41" i="2"/>
  <c r="CC41" i="2"/>
  <c r="CB41" i="2"/>
  <c r="CA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A41" i="2"/>
  <c r="AP41" i="2"/>
  <c r="BO41" i="2" s="1"/>
  <c r="AB41" i="2"/>
  <c r="H41" i="2"/>
  <c r="EB40" i="2"/>
  <c r="EA40" i="2"/>
  <c r="DZ40" i="2"/>
  <c r="DY40" i="2"/>
  <c r="DW40" i="2"/>
  <c r="DV40" i="2"/>
  <c r="DU40" i="2"/>
  <c r="DT40" i="2"/>
  <c r="DS40" i="2"/>
  <c r="DR40" i="2"/>
  <c r="DQ40" i="2"/>
  <c r="DP40" i="2"/>
  <c r="DO40" i="2"/>
  <c r="DN40" i="2"/>
  <c r="DM40" i="2"/>
  <c r="DL40" i="2"/>
  <c r="DK40" i="2"/>
  <c r="DJ40" i="2"/>
  <c r="DI40" i="2"/>
  <c r="DH40" i="2"/>
  <c r="DG40" i="2"/>
  <c r="DF40" i="2"/>
  <c r="CY40" i="2"/>
  <c r="DX40" i="2" s="1"/>
  <c r="CD40" i="2"/>
  <c r="CC40" i="2"/>
  <c r="CB40" i="2"/>
  <c r="CA40" i="2"/>
  <c r="BY40" i="2"/>
  <c r="BX40" i="2"/>
  <c r="BW40" i="2"/>
  <c r="BV40" i="2"/>
  <c r="BU40" i="2"/>
  <c r="BT40" i="2"/>
  <c r="BS40" i="2"/>
  <c r="BR40" i="2"/>
  <c r="BQ40" i="2"/>
  <c r="BP40" i="2"/>
  <c r="BO40" i="2"/>
  <c r="BN40" i="2"/>
  <c r="BM40" i="2"/>
  <c r="BL40" i="2"/>
  <c r="BK40" i="2"/>
  <c r="BJ40" i="2"/>
  <c r="BI40" i="2"/>
  <c r="BH40" i="2"/>
  <c r="BA40" i="2"/>
  <c r="BZ40" i="2" s="1"/>
  <c r="H40" i="2"/>
  <c r="G40" i="2"/>
  <c r="EE40" i="2" s="1"/>
  <c r="EB39" i="2"/>
  <c r="EA39" i="2"/>
  <c r="DZ39" i="2"/>
  <c r="DY39" i="2"/>
  <c r="DW39" i="2"/>
  <c r="DV39" i="2"/>
  <c r="DU39" i="2"/>
  <c r="DT39" i="2"/>
  <c r="DS39" i="2"/>
  <c r="DR39" i="2"/>
  <c r="DQ39" i="2"/>
  <c r="DP39" i="2"/>
  <c r="DO39" i="2"/>
  <c r="DN39" i="2"/>
  <c r="DM39" i="2"/>
  <c r="DL39" i="2"/>
  <c r="DK39" i="2"/>
  <c r="DJ39" i="2"/>
  <c r="DI39" i="2"/>
  <c r="DH39" i="2"/>
  <c r="DG39" i="2"/>
  <c r="DF39" i="2"/>
  <c r="CY39" i="2"/>
  <c r="CF39" i="2" s="1"/>
  <c r="EF39" i="2" s="1"/>
  <c r="CD39" i="2"/>
  <c r="CC39" i="2"/>
  <c r="CB39" i="2"/>
  <c r="CA39" i="2"/>
  <c r="BY39" i="2"/>
  <c r="BX39" i="2"/>
  <c r="BW39" i="2"/>
  <c r="BV39" i="2"/>
  <c r="BU39" i="2"/>
  <c r="BT39" i="2"/>
  <c r="BS39" i="2"/>
  <c r="BR39" i="2"/>
  <c r="BQ39" i="2"/>
  <c r="BP39" i="2"/>
  <c r="BO39" i="2"/>
  <c r="BN39" i="2"/>
  <c r="BM39" i="2"/>
  <c r="BL39" i="2"/>
  <c r="BK39" i="2"/>
  <c r="BJ39" i="2"/>
  <c r="BI39" i="2"/>
  <c r="BH39" i="2"/>
  <c r="BA39" i="2"/>
  <c r="AH39" i="2" s="1"/>
  <c r="AB39" i="2"/>
  <c r="G39" i="2" s="1"/>
  <c r="EE39" i="2" s="1"/>
  <c r="H39" i="2"/>
  <c r="EA38" i="2"/>
  <c r="DZ38" i="2"/>
  <c r="DY38" i="2"/>
  <c r="DW38" i="2"/>
  <c r="DV38" i="2"/>
  <c r="DU38" i="2"/>
  <c r="DT38" i="2"/>
  <c r="DS38" i="2"/>
  <c r="DR38" i="2"/>
  <c r="DQ38" i="2"/>
  <c r="DL38" i="2"/>
  <c r="DK38" i="2"/>
  <c r="DJ38" i="2"/>
  <c r="DI38" i="2"/>
  <c r="DH38" i="2"/>
  <c r="DG38" i="2"/>
  <c r="DF38" i="2"/>
  <c r="DC38" i="2"/>
  <c r="CY38" i="2"/>
  <c r="CQ38" i="2"/>
  <c r="CP38" i="2"/>
  <c r="CO38" i="2"/>
  <c r="CO137" i="2" s="1"/>
  <c r="CN38" i="2"/>
  <c r="CC38" i="2"/>
  <c r="CB38" i="2"/>
  <c r="CA38" i="2"/>
  <c r="BY38" i="2"/>
  <c r="BX38" i="2"/>
  <c r="BW38" i="2"/>
  <c r="BV38" i="2"/>
  <c r="BU38" i="2"/>
  <c r="BT38" i="2"/>
  <c r="BS38" i="2"/>
  <c r="BN38" i="2"/>
  <c r="BM38" i="2"/>
  <c r="BL38" i="2"/>
  <c r="BK38" i="2"/>
  <c r="BJ38" i="2"/>
  <c r="BI38" i="2"/>
  <c r="BH38" i="2"/>
  <c r="BE38" i="2"/>
  <c r="BA38" i="2"/>
  <c r="AS38" i="2"/>
  <c r="BR38" i="2" s="1"/>
  <c r="AR38" i="2"/>
  <c r="AQ38" i="2"/>
  <c r="AP38" i="2"/>
  <c r="AF38" i="2"/>
  <c r="AB38" i="2"/>
  <c r="S38" i="2"/>
  <c r="R38" i="2"/>
  <c r="DN38" i="2" s="1"/>
  <c r="Q38" i="2"/>
  <c r="H38" i="2"/>
  <c r="EA37" i="2"/>
  <c r="DZ37" i="2"/>
  <c r="DY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Y37" i="2"/>
  <c r="DX37" i="2" s="1"/>
  <c r="CN37" i="2"/>
  <c r="CC37" i="2"/>
  <c r="CB37" i="2"/>
  <c r="CA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BE37" i="2"/>
  <c r="BA37" i="2"/>
  <c r="BZ37" i="2" s="1"/>
  <c r="AP37" i="2"/>
  <c r="AF37" i="2"/>
  <c r="Q37" i="2"/>
  <c r="H37" i="2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CF36" i="2" s="1"/>
  <c r="EF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AH36" i="2" s="1"/>
  <c r="Q36" i="2"/>
  <c r="G36" i="2" s="1"/>
  <c r="EE36" i="2" s="1"/>
  <c r="H36" i="2"/>
  <c r="EA35" i="2"/>
  <c r="DZ35" i="2"/>
  <c r="DY35" i="2"/>
  <c r="DW35" i="2"/>
  <c r="DV35" i="2"/>
  <c r="DU35" i="2"/>
  <c r="DT35" i="2"/>
  <c r="DS35" i="2"/>
  <c r="DR35" i="2"/>
  <c r="DQ35" i="2"/>
  <c r="DP35" i="2"/>
  <c r="DO35" i="2"/>
  <c r="DN35" i="2"/>
  <c r="DL35" i="2"/>
  <c r="DK35" i="2"/>
  <c r="DJ35" i="2"/>
  <c r="DI35" i="2"/>
  <c r="DH35" i="2"/>
  <c r="DG35" i="2"/>
  <c r="DF35" i="2"/>
  <c r="DC35" i="2"/>
  <c r="CN35" i="2"/>
  <c r="CC35" i="2"/>
  <c r="CB35" i="2"/>
  <c r="CA35" i="2"/>
  <c r="BY35" i="2"/>
  <c r="BX35" i="2"/>
  <c r="BW35" i="2"/>
  <c r="BV35" i="2"/>
  <c r="BU35" i="2"/>
  <c r="BT35" i="2"/>
  <c r="BS35" i="2"/>
  <c r="BR35" i="2"/>
  <c r="BQ35" i="2"/>
  <c r="BP35" i="2"/>
  <c r="BN35" i="2"/>
  <c r="BM35" i="2"/>
  <c r="BL35" i="2"/>
  <c r="BK35" i="2"/>
  <c r="BJ35" i="2"/>
  <c r="BI35" i="2"/>
  <c r="BH35" i="2"/>
  <c r="BE35" i="2"/>
  <c r="AP35" i="2"/>
  <c r="AF35" i="2"/>
  <c r="EB35" i="2" s="1"/>
  <c r="AB35" i="2"/>
  <c r="BZ35" i="2" s="1"/>
  <c r="Q35" i="2"/>
  <c r="H35" i="2"/>
  <c r="EA34" i="2"/>
  <c r="DZ34" i="2"/>
  <c r="DY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DC34" i="2"/>
  <c r="CY34" i="2"/>
  <c r="CN34" i="2"/>
  <c r="CC34" i="2"/>
  <c r="CB34" i="2"/>
  <c r="CA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BE34" i="2"/>
  <c r="BA34" i="2"/>
  <c r="AP34" i="2"/>
  <c r="AF34" i="2"/>
  <c r="AB34" i="2"/>
  <c r="Q34" i="2"/>
  <c r="H34" i="2"/>
  <c r="EA33" i="2"/>
  <c r="DZ33" i="2"/>
  <c r="DY33" i="2"/>
  <c r="DX33" i="2"/>
  <c r="DW33" i="2"/>
  <c r="DV33" i="2"/>
  <c r="DU33" i="2"/>
  <c r="DT33" i="2"/>
  <c r="DS33" i="2"/>
  <c r="DR33" i="2"/>
  <c r="DQ33" i="2"/>
  <c r="DP33" i="2"/>
  <c r="DO33" i="2"/>
  <c r="DN33" i="2"/>
  <c r="DL33" i="2"/>
  <c r="DK33" i="2"/>
  <c r="DJ33" i="2"/>
  <c r="DI33" i="2"/>
  <c r="DH33" i="2"/>
  <c r="DG33" i="2"/>
  <c r="DF33" i="2"/>
  <c r="DC33" i="2"/>
  <c r="CN33" i="2"/>
  <c r="DM33" i="2" s="1"/>
  <c r="CC33" i="2"/>
  <c r="CB33" i="2"/>
  <c r="CA33" i="2"/>
  <c r="BY33" i="2"/>
  <c r="BX33" i="2"/>
  <c r="BW33" i="2"/>
  <c r="BV33" i="2"/>
  <c r="BU33" i="2"/>
  <c r="BT33" i="2"/>
  <c r="BS33" i="2"/>
  <c r="BR33" i="2"/>
  <c r="BQ33" i="2"/>
  <c r="BP33" i="2"/>
  <c r="BN33" i="2"/>
  <c r="BM33" i="2"/>
  <c r="BL33" i="2"/>
  <c r="BK33" i="2"/>
  <c r="BJ33" i="2"/>
  <c r="BI33" i="2"/>
  <c r="BH33" i="2"/>
  <c r="BE33" i="2"/>
  <c r="BA33" i="2"/>
  <c r="BZ33" i="2" s="1"/>
  <c r="AP33" i="2"/>
  <c r="BO33" i="2" s="1"/>
  <c r="AF33" i="2"/>
  <c r="G33" i="2" s="1"/>
  <c r="EE33" i="2" s="1"/>
  <c r="H33" i="2"/>
  <c r="EB32" i="2"/>
  <c r="EA32" i="2"/>
  <c r="DZ32" i="2"/>
  <c r="DY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G32" i="2"/>
  <c r="DF32" i="2"/>
  <c r="CF32" i="2"/>
  <c r="EF32" i="2" s="1"/>
  <c r="CD32" i="2"/>
  <c r="CC32" i="2"/>
  <c r="CB32" i="2"/>
  <c r="CA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I32" i="2"/>
  <c r="BH32" i="2"/>
  <c r="AH32" i="2"/>
  <c r="AB32" i="2"/>
  <c r="Q32" i="2"/>
  <c r="DM32" i="2" s="1"/>
  <c r="H32" i="2"/>
  <c r="EB31" i="2"/>
  <c r="EA31" i="2"/>
  <c r="DZ31" i="2"/>
  <c r="DY31" i="2"/>
  <c r="DW31" i="2"/>
  <c r="DV31" i="2"/>
  <c r="DU31" i="2"/>
  <c r="DT31" i="2"/>
  <c r="DS31" i="2"/>
  <c r="DR31" i="2"/>
  <c r="DQ31" i="2"/>
  <c r="DP31" i="2"/>
  <c r="DO31" i="2"/>
  <c r="DN31" i="2"/>
  <c r="DL31" i="2"/>
  <c r="DK31" i="2"/>
  <c r="DJ31" i="2"/>
  <c r="DI31" i="2"/>
  <c r="DH31" i="2"/>
  <c r="DG31" i="2"/>
  <c r="DF31" i="2"/>
  <c r="CF31" i="2"/>
  <c r="EF31" i="2" s="1"/>
  <c r="CD31" i="2"/>
  <c r="CC31" i="2"/>
  <c r="CB31" i="2"/>
  <c r="CA31" i="2"/>
  <c r="BY31" i="2"/>
  <c r="BX31" i="2"/>
  <c r="BW31" i="2"/>
  <c r="BV31" i="2"/>
  <c r="BU31" i="2"/>
  <c r="BT31" i="2"/>
  <c r="BS31" i="2"/>
  <c r="BR31" i="2"/>
  <c r="BQ31" i="2"/>
  <c r="BP31" i="2"/>
  <c r="BN31" i="2"/>
  <c r="BM31" i="2"/>
  <c r="BL31" i="2"/>
  <c r="BK31" i="2"/>
  <c r="BJ31" i="2"/>
  <c r="BI31" i="2"/>
  <c r="BH31" i="2"/>
  <c r="AH31" i="2"/>
  <c r="AB31" i="2"/>
  <c r="Q31" i="2"/>
  <c r="DM31" i="2" s="1"/>
  <c r="H31" i="2"/>
  <c r="EB30" i="2"/>
  <c r="EA30" i="2"/>
  <c r="DZ30" i="2"/>
  <c r="DY30" i="2"/>
  <c r="DW30" i="2"/>
  <c r="DV30" i="2"/>
  <c r="DU30" i="2"/>
  <c r="DT30" i="2"/>
  <c r="DS30" i="2"/>
  <c r="DR30" i="2"/>
  <c r="DQ30" i="2"/>
  <c r="DP30" i="2"/>
  <c r="DO30" i="2"/>
  <c r="DN30" i="2"/>
  <c r="DL30" i="2"/>
  <c r="DK30" i="2"/>
  <c r="DJ30" i="2"/>
  <c r="DI30" i="2"/>
  <c r="DH30" i="2"/>
  <c r="DG30" i="2"/>
  <c r="DF30" i="2"/>
  <c r="CY30" i="2"/>
  <c r="DX30" i="2" s="1"/>
  <c r="CN30" i="2"/>
  <c r="CD30" i="2"/>
  <c r="CC30" i="2"/>
  <c r="CB30" i="2"/>
  <c r="CA30" i="2"/>
  <c r="BY30" i="2"/>
  <c r="BX30" i="2"/>
  <c r="BW30" i="2"/>
  <c r="BV30" i="2"/>
  <c r="BU30" i="2"/>
  <c r="BT30" i="2"/>
  <c r="BS30" i="2"/>
  <c r="BR30" i="2"/>
  <c r="BQ30" i="2"/>
  <c r="BP30" i="2"/>
  <c r="BN30" i="2"/>
  <c r="BM30" i="2"/>
  <c r="BL30" i="2"/>
  <c r="BK30" i="2"/>
  <c r="BJ30" i="2"/>
  <c r="BI30" i="2"/>
  <c r="BH30" i="2"/>
  <c r="BA30" i="2"/>
  <c r="AP30" i="2"/>
  <c r="Q30" i="2"/>
  <c r="G30" i="2" s="1"/>
  <c r="EE30" i="2" s="1"/>
  <c r="H30" i="2"/>
  <c r="EB29" i="2"/>
  <c r="EA29" i="2"/>
  <c r="DZ29" i="2"/>
  <c r="DY29" i="2"/>
  <c r="DW29" i="2"/>
  <c r="DV29" i="2"/>
  <c r="DU29" i="2"/>
  <c r="DT29" i="2"/>
  <c r="DS29" i="2"/>
  <c r="DR29" i="2"/>
  <c r="DQ29" i="2"/>
  <c r="DP29" i="2"/>
  <c r="DO29" i="2"/>
  <c r="DN29" i="2"/>
  <c r="DL29" i="2"/>
  <c r="DK29" i="2"/>
  <c r="DJ29" i="2"/>
  <c r="DI29" i="2"/>
  <c r="DH29" i="2"/>
  <c r="DG29" i="2"/>
  <c r="DF29" i="2"/>
  <c r="CY29" i="2"/>
  <c r="DX29" i="2" s="1"/>
  <c r="CN29" i="2"/>
  <c r="CD29" i="2"/>
  <c r="CC29" i="2"/>
  <c r="CB29" i="2"/>
  <c r="CA29" i="2"/>
  <c r="BY29" i="2"/>
  <c r="BX29" i="2"/>
  <c r="BW29" i="2"/>
  <c r="BV29" i="2"/>
  <c r="BU29" i="2"/>
  <c r="BT29" i="2"/>
  <c r="BS29" i="2"/>
  <c r="BR29" i="2"/>
  <c r="BQ29" i="2"/>
  <c r="BP29" i="2"/>
  <c r="BN29" i="2"/>
  <c r="BM29" i="2"/>
  <c r="BL29" i="2"/>
  <c r="BK29" i="2"/>
  <c r="BJ29" i="2"/>
  <c r="BI29" i="2"/>
  <c r="BH29" i="2"/>
  <c r="BA29" i="2"/>
  <c r="BZ29" i="2" s="1"/>
  <c r="AP29" i="2"/>
  <c r="Q29" i="2"/>
  <c r="H29" i="2"/>
  <c r="EB28" i="2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L28" i="2"/>
  <c r="DK28" i="2"/>
  <c r="DJ28" i="2"/>
  <c r="DI28" i="2"/>
  <c r="DH28" i="2"/>
  <c r="DG28" i="2"/>
  <c r="DF28" i="2"/>
  <c r="CN28" i="2"/>
  <c r="CF28" i="2" s="1"/>
  <c r="EF28" i="2" s="1"/>
  <c r="CD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N28" i="2"/>
  <c r="BM28" i="2"/>
  <c r="BL28" i="2"/>
  <c r="BK28" i="2"/>
  <c r="BJ28" i="2"/>
  <c r="BI28" i="2"/>
  <c r="BH28" i="2"/>
  <c r="AP28" i="2"/>
  <c r="AH28" i="2" s="1"/>
  <c r="Q28" i="2"/>
  <c r="H28" i="2"/>
  <c r="EA27" i="2"/>
  <c r="DZ27" i="2"/>
  <c r="DY27" i="2"/>
  <c r="DW27" i="2"/>
  <c r="DV27" i="2"/>
  <c r="DU27" i="2"/>
  <c r="DT27" i="2"/>
  <c r="DS27" i="2"/>
  <c r="DR27" i="2"/>
  <c r="DQ27" i="2"/>
  <c r="DL27" i="2"/>
  <c r="DK27" i="2"/>
  <c r="DJ27" i="2"/>
  <c r="DI27" i="2"/>
  <c r="DH27" i="2"/>
  <c r="DG27" i="2"/>
  <c r="DF27" i="2"/>
  <c r="DC27" i="2"/>
  <c r="CY27" i="2"/>
  <c r="CP27" i="2"/>
  <c r="CC27" i="2"/>
  <c r="CB27" i="2"/>
  <c r="CA27" i="2"/>
  <c r="BY27" i="2"/>
  <c r="BX27" i="2"/>
  <c r="BW27" i="2"/>
  <c r="BV27" i="2"/>
  <c r="BU27" i="2"/>
  <c r="BT27" i="2"/>
  <c r="BS27" i="2"/>
  <c r="BN27" i="2"/>
  <c r="BM27" i="2"/>
  <c r="BL27" i="2"/>
  <c r="BK27" i="2"/>
  <c r="BJ27" i="2"/>
  <c r="BI27" i="2"/>
  <c r="BH27" i="2"/>
  <c r="BE27" i="2"/>
  <c r="BA27" i="2"/>
  <c r="AS27" i="2"/>
  <c r="AR27" i="2"/>
  <c r="AQ27" i="2"/>
  <c r="AP27" i="2"/>
  <c r="AF27" i="2"/>
  <c r="T27" i="2"/>
  <c r="T137" i="2" s="1"/>
  <c r="S27" i="2"/>
  <c r="R27" i="2"/>
  <c r="Q27" i="2"/>
  <c r="H27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L26" i="2"/>
  <c r="DK26" i="2"/>
  <c r="DJ26" i="2"/>
  <c r="DI26" i="2"/>
  <c r="DH26" i="2"/>
  <c r="DG26" i="2"/>
  <c r="DF26" i="2"/>
  <c r="CF26" i="2"/>
  <c r="EF26" i="2" s="1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N26" i="2"/>
  <c r="BM26" i="2"/>
  <c r="BL26" i="2"/>
  <c r="BK26" i="2"/>
  <c r="BJ26" i="2"/>
  <c r="BI26" i="2"/>
  <c r="BH26" i="2"/>
  <c r="AP26" i="2"/>
  <c r="AH26" i="2" s="1"/>
  <c r="AF26" i="2"/>
  <c r="CD26" i="2" s="1"/>
  <c r="Q26" i="2"/>
  <c r="H26" i="2"/>
  <c r="EA25" i="2"/>
  <c r="DZ25" i="2"/>
  <c r="DY25" i="2"/>
  <c r="DX25" i="2"/>
  <c r="DW25" i="2"/>
  <c r="DV25" i="2"/>
  <c r="DU25" i="2"/>
  <c r="DT25" i="2"/>
  <c r="DS25" i="2"/>
  <c r="DR25" i="2"/>
  <c r="DQ25" i="2"/>
  <c r="DP25" i="2"/>
  <c r="DO25" i="2"/>
  <c r="DN25" i="2"/>
  <c r="DL25" i="2"/>
  <c r="DK25" i="2"/>
  <c r="DJ25" i="2"/>
  <c r="DI25" i="2"/>
  <c r="DH25" i="2"/>
  <c r="DG25" i="2"/>
  <c r="DF25" i="2"/>
  <c r="CN25" i="2"/>
  <c r="CF25" i="2" s="1"/>
  <c r="EF25" i="2" s="1"/>
  <c r="CC25" i="2"/>
  <c r="CB25" i="2"/>
  <c r="CA25" i="2"/>
  <c r="BZ25" i="2"/>
  <c r="BY25" i="2"/>
  <c r="BX25" i="2"/>
  <c r="BW25" i="2"/>
  <c r="BV25" i="2"/>
  <c r="BU25" i="2"/>
  <c r="BT25" i="2"/>
  <c r="BS25" i="2"/>
  <c r="BR25" i="2"/>
  <c r="BQ25" i="2"/>
  <c r="BP25" i="2"/>
  <c r="BN25" i="2"/>
  <c r="BM25" i="2"/>
  <c r="BL25" i="2"/>
  <c r="BK25" i="2"/>
  <c r="BJ25" i="2"/>
  <c r="BI25" i="2"/>
  <c r="BH25" i="2"/>
  <c r="AP25" i="2"/>
  <c r="AH25" i="2" s="1"/>
  <c r="AF25" i="2"/>
  <c r="Q25" i="2"/>
  <c r="H25" i="2"/>
  <c r="DA24" i="2"/>
  <c r="CZ24" i="2"/>
  <c r="CY24" i="2"/>
  <c r="CW24" i="2"/>
  <c r="CV24" i="2"/>
  <c r="CU24" i="2"/>
  <c r="CT24" i="2"/>
  <c r="CS24" i="2"/>
  <c r="CQ24" i="2"/>
  <c r="CP24" i="2"/>
  <c r="CO24" i="2"/>
  <c r="CN24" i="2"/>
  <c r="CM24" i="2"/>
  <c r="CL24" i="2"/>
  <c r="CK24" i="2"/>
  <c r="CJ24" i="2"/>
  <c r="CI24" i="2"/>
  <c r="CG24" i="2"/>
  <c r="BC24" i="2"/>
  <c r="BB24" i="2"/>
  <c r="BA24" i="2"/>
  <c r="AY24" i="2"/>
  <c r="AX24" i="2"/>
  <c r="AW24" i="2"/>
  <c r="AV24" i="2"/>
  <c r="AU24" i="2"/>
  <c r="AS24" i="2"/>
  <c r="AR24" i="2"/>
  <c r="AQ24" i="2"/>
  <c r="AP24" i="2"/>
  <c r="AO24" i="2"/>
  <c r="AN24" i="2"/>
  <c r="AM24" i="2"/>
  <c r="AK24" i="2"/>
  <c r="AI24" i="2"/>
  <c r="AE24" i="2"/>
  <c r="AD24" i="2"/>
  <c r="AC24" i="2"/>
  <c r="AB24" i="2"/>
  <c r="AA24" i="2"/>
  <c r="Z24" i="2"/>
  <c r="Y24" i="2"/>
  <c r="X24" i="2"/>
  <c r="W24" i="2"/>
  <c r="V24" i="2"/>
  <c r="T24" i="2"/>
  <c r="S24" i="2"/>
  <c r="R24" i="2"/>
  <c r="Q24" i="2"/>
  <c r="P24" i="2"/>
  <c r="O24" i="2"/>
  <c r="N24" i="2"/>
  <c r="M24" i="2"/>
  <c r="L24" i="2"/>
  <c r="J24" i="2"/>
  <c r="EB23" i="2"/>
  <c r="EA23" i="2"/>
  <c r="DZ23" i="2"/>
  <c r="DY23" i="2"/>
  <c r="DX23" i="2"/>
  <c r="DW23" i="2"/>
  <c r="DV23" i="2"/>
  <c r="DU23" i="2"/>
  <c r="DT23" i="2"/>
  <c r="DS23" i="2"/>
  <c r="DR23" i="2"/>
  <c r="DP23" i="2"/>
  <c r="DO23" i="2"/>
  <c r="DN23" i="2"/>
  <c r="DM23" i="2"/>
  <c r="DL23" i="2"/>
  <c r="DK23" i="2"/>
  <c r="DJ23" i="2"/>
  <c r="DI23" i="2"/>
  <c r="DH23" i="2"/>
  <c r="DF23" i="2"/>
  <c r="CH23" i="2"/>
  <c r="CD23" i="2"/>
  <c r="CC23" i="2"/>
  <c r="CB23" i="2"/>
  <c r="CA23" i="2"/>
  <c r="BZ23" i="2"/>
  <c r="BY23" i="2"/>
  <c r="BX23" i="2"/>
  <c r="BW23" i="2"/>
  <c r="BV23" i="2"/>
  <c r="BU23" i="2"/>
  <c r="BT23" i="2"/>
  <c r="BR23" i="2"/>
  <c r="BQ23" i="2"/>
  <c r="BP23" i="2"/>
  <c r="BO23" i="2"/>
  <c r="BN23" i="2"/>
  <c r="BM23" i="2"/>
  <c r="BL23" i="2"/>
  <c r="BK23" i="2"/>
  <c r="BJ23" i="2"/>
  <c r="BH23" i="2"/>
  <c r="AT23" i="2"/>
  <c r="AJ23" i="2"/>
  <c r="U23" i="2"/>
  <c r="DQ23" i="2" s="1"/>
  <c r="K23" i="2"/>
  <c r="H23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DC22" i="2"/>
  <c r="CH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BE22" i="2"/>
  <c r="AJ22" i="2"/>
  <c r="AF22" i="2"/>
  <c r="K22" i="2"/>
  <c r="H22" i="2"/>
  <c r="EB21" i="2"/>
  <c r="EA21" i="2"/>
  <c r="DZ21" i="2"/>
  <c r="DY21" i="2"/>
  <c r="DX21" i="2"/>
  <c r="DW21" i="2"/>
  <c r="DV21" i="2"/>
  <c r="DU21" i="2"/>
  <c r="DT21" i="2"/>
  <c r="DS21" i="2"/>
  <c r="DR21" i="2"/>
  <c r="DQ21" i="2"/>
  <c r="DP21" i="2"/>
  <c r="DO21" i="2"/>
  <c r="DN21" i="2"/>
  <c r="DM21" i="2"/>
  <c r="DL21" i="2"/>
  <c r="DK21" i="2"/>
  <c r="DJ21" i="2"/>
  <c r="DI21" i="2"/>
  <c r="DH21" i="2"/>
  <c r="DF21" i="2"/>
  <c r="CF21" i="2"/>
  <c r="CD21" i="2"/>
  <c r="CC21" i="2"/>
  <c r="CB21" i="2"/>
  <c r="CA21" i="2"/>
  <c r="BZ21" i="2"/>
  <c r="BY21" i="2"/>
  <c r="BX21" i="2"/>
  <c r="BW21" i="2"/>
  <c r="BV21" i="2"/>
  <c r="BU21" i="2"/>
  <c r="BT21" i="2"/>
  <c r="BS21" i="2"/>
  <c r="BR21" i="2"/>
  <c r="BQ21" i="2"/>
  <c r="BP21" i="2"/>
  <c r="BO21" i="2"/>
  <c r="BN21" i="2"/>
  <c r="BM21" i="2"/>
  <c r="BL21" i="2"/>
  <c r="BK21" i="2"/>
  <c r="BJ21" i="2"/>
  <c r="BH21" i="2"/>
  <c r="AJ21" i="2"/>
  <c r="AH21" i="2" s="1"/>
  <c r="K21" i="2"/>
  <c r="DG21" i="2" s="1"/>
  <c r="H21" i="2"/>
  <c r="EA20" i="2"/>
  <c r="DZ20" i="2"/>
  <c r="DY20" i="2"/>
  <c r="DX20" i="2"/>
  <c r="DW20" i="2"/>
  <c r="DV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F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H20" i="2"/>
  <c r="AJ20" i="2"/>
  <c r="BI20" i="2" s="1"/>
  <c r="AF20" i="2"/>
  <c r="G20" i="2" s="1"/>
  <c r="H20" i="2"/>
  <c r="EB19" i="2"/>
  <c r="EA19" i="2"/>
  <c r="DZ19" i="2"/>
  <c r="DY19" i="2"/>
  <c r="DX19" i="2"/>
  <c r="DW19" i="2"/>
  <c r="DV19" i="2"/>
  <c r="DU19" i="2"/>
  <c r="DT19" i="2"/>
  <c r="DS19" i="2"/>
  <c r="DR19" i="2"/>
  <c r="DP19" i="2"/>
  <c r="DO19" i="2"/>
  <c r="DN19" i="2"/>
  <c r="DM19" i="2"/>
  <c r="DL19" i="2"/>
  <c r="DK19" i="2"/>
  <c r="DJ19" i="2"/>
  <c r="DI19" i="2"/>
  <c r="DH19" i="2"/>
  <c r="DG19" i="2"/>
  <c r="DF19" i="2"/>
  <c r="CR19" i="2"/>
  <c r="CF19" i="2" s="1"/>
  <c r="CD19" i="2"/>
  <c r="CC19" i="2"/>
  <c r="CB19" i="2"/>
  <c r="CA19" i="2"/>
  <c r="BZ19" i="2"/>
  <c r="BY19" i="2"/>
  <c r="BX19" i="2"/>
  <c r="BW19" i="2"/>
  <c r="BV19" i="2"/>
  <c r="BU19" i="2"/>
  <c r="BT19" i="2"/>
  <c r="BR19" i="2"/>
  <c r="BQ19" i="2"/>
  <c r="BP19" i="2"/>
  <c r="BO19" i="2"/>
  <c r="BN19" i="2"/>
  <c r="BM19" i="2"/>
  <c r="BL19" i="2"/>
  <c r="BK19" i="2"/>
  <c r="BJ19" i="2"/>
  <c r="BI19" i="2"/>
  <c r="BH19" i="2"/>
  <c r="AT19" i="2"/>
  <c r="AH19" i="2" s="1"/>
  <c r="U19" i="2"/>
  <c r="DQ19" i="2" s="1"/>
  <c r="H19" i="2"/>
  <c r="EA18" i="2"/>
  <c r="DZ18" i="2"/>
  <c r="DY18" i="2"/>
  <c r="DX18" i="2"/>
  <c r="DW18" i="2"/>
  <c r="DV18" i="2"/>
  <c r="DU18" i="2"/>
  <c r="DT18" i="2"/>
  <c r="DS18" i="2"/>
  <c r="DR18" i="2"/>
  <c r="DP18" i="2"/>
  <c r="DO18" i="2"/>
  <c r="DN18" i="2"/>
  <c r="DM18" i="2"/>
  <c r="DL18" i="2"/>
  <c r="DK18" i="2"/>
  <c r="DJ18" i="2"/>
  <c r="DI18" i="2"/>
  <c r="DH18" i="2"/>
  <c r="DG18" i="2"/>
  <c r="DF18" i="2"/>
  <c r="CF18" i="2"/>
  <c r="CC18" i="2"/>
  <c r="CB18" i="2"/>
  <c r="CA18" i="2"/>
  <c r="BZ18" i="2"/>
  <c r="BY18" i="2"/>
  <c r="BX18" i="2"/>
  <c r="BW18" i="2"/>
  <c r="BV18" i="2"/>
  <c r="BU18" i="2"/>
  <c r="BT18" i="2"/>
  <c r="BR18" i="2"/>
  <c r="BQ18" i="2"/>
  <c r="BP18" i="2"/>
  <c r="BO18" i="2"/>
  <c r="BN18" i="2"/>
  <c r="BM18" i="2"/>
  <c r="BL18" i="2"/>
  <c r="BK18" i="2"/>
  <c r="BJ18" i="2"/>
  <c r="BI18" i="2"/>
  <c r="BH18" i="2"/>
  <c r="AT18" i="2"/>
  <c r="AH18" i="2" s="1"/>
  <c r="AF18" i="2"/>
  <c r="CD18" i="2" s="1"/>
  <c r="U18" i="2"/>
  <c r="DQ18" i="2" s="1"/>
  <c r="H18" i="2"/>
  <c r="EA17" i="2"/>
  <c r="DZ17" i="2"/>
  <c r="DY17" i="2"/>
  <c r="DX17" i="2"/>
  <c r="DW17" i="2"/>
  <c r="DV17" i="2"/>
  <c r="DU17" i="2"/>
  <c r="DT17" i="2"/>
  <c r="DS17" i="2"/>
  <c r="DR17" i="2"/>
  <c r="DP17" i="2"/>
  <c r="DO17" i="2"/>
  <c r="DN17" i="2"/>
  <c r="DM17" i="2"/>
  <c r="DL17" i="2"/>
  <c r="DK17" i="2"/>
  <c r="DJ17" i="2"/>
  <c r="DI17" i="2"/>
  <c r="DH17" i="2"/>
  <c r="DG17" i="2"/>
  <c r="DF17" i="2"/>
  <c r="DC17" i="2"/>
  <c r="CR17" i="2"/>
  <c r="CC17" i="2"/>
  <c r="CB17" i="2"/>
  <c r="CA17" i="2"/>
  <c r="BZ17" i="2"/>
  <c r="BY17" i="2"/>
  <c r="BX17" i="2"/>
  <c r="BW17" i="2"/>
  <c r="BV17" i="2"/>
  <c r="BU17" i="2"/>
  <c r="BT17" i="2"/>
  <c r="BR17" i="2"/>
  <c r="BQ17" i="2"/>
  <c r="BP17" i="2"/>
  <c r="BO17" i="2"/>
  <c r="BN17" i="2"/>
  <c r="BM17" i="2"/>
  <c r="BL17" i="2"/>
  <c r="BK17" i="2"/>
  <c r="BJ17" i="2"/>
  <c r="BI17" i="2"/>
  <c r="BH17" i="2"/>
  <c r="BE17" i="2"/>
  <c r="AT17" i="2"/>
  <c r="AF17" i="2"/>
  <c r="U17" i="2"/>
  <c r="H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F16" i="2"/>
  <c r="CH16" i="2"/>
  <c r="DG16" i="2" s="1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H16" i="2"/>
  <c r="AJ16" i="2"/>
  <c r="BI16" i="2" s="1"/>
  <c r="H16" i="2"/>
  <c r="G16" i="2"/>
  <c r="EA15" i="2"/>
  <c r="DZ15" i="2"/>
  <c r="DY15" i="2"/>
  <c r="DX15" i="2"/>
  <c r="DW15" i="2"/>
  <c r="DV15" i="2"/>
  <c r="DU15" i="2"/>
  <c r="DT15" i="2"/>
  <c r="DS15" i="2"/>
  <c r="DR15" i="2"/>
  <c r="DP15" i="2"/>
  <c r="DO15" i="2"/>
  <c r="DN15" i="2"/>
  <c r="DM15" i="2"/>
  <c r="DL15" i="2"/>
  <c r="DK15" i="2"/>
  <c r="DJ15" i="2"/>
  <c r="DI15" i="2"/>
  <c r="DH15" i="2"/>
  <c r="DF15" i="2"/>
  <c r="DC15" i="2"/>
  <c r="CR15" i="2"/>
  <c r="DQ15" i="2" s="1"/>
  <c r="CH15" i="2"/>
  <c r="CH136" i="2" s="1"/>
  <c r="CC15" i="2"/>
  <c r="CB15" i="2"/>
  <c r="CA15" i="2"/>
  <c r="BZ15" i="2"/>
  <c r="BY15" i="2"/>
  <c r="BX15" i="2"/>
  <c r="BW15" i="2"/>
  <c r="BV15" i="2"/>
  <c r="BU15" i="2"/>
  <c r="BT15" i="2"/>
  <c r="BR15" i="2"/>
  <c r="BQ15" i="2"/>
  <c r="BP15" i="2"/>
  <c r="BO15" i="2"/>
  <c r="BN15" i="2"/>
  <c r="BM15" i="2"/>
  <c r="BL15" i="2"/>
  <c r="BK15" i="2"/>
  <c r="BJ15" i="2"/>
  <c r="BH15" i="2"/>
  <c r="BE15" i="2"/>
  <c r="AT15" i="2"/>
  <c r="BS15" i="2" s="1"/>
  <c r="AJ15" i="2"/>
  <c r="BI15" i="2" s="1"/>
  <c r="AF15" i="2"/>
  <c r="H15" i="2"/>
  <c r="EB14" i="2"/>
  <c r="EA14" i="2"/>
  <c r="DZ14" i="2"/>
  <c r="DY14" i="2"/>
  <c r="DX14" i="2"/>
  <c r="DW14" i="2"/>
  <c r="DV14" i="2"/>
  <c r="DU14" i="2"/>
  <c r="DT14" i="2"/>
  <c r="DS14" i="2"/>
  <c r="DR14" i="2"/>
  <c r="DP14" i="2"/>
  <c r="DO14" i="2"/>
  <c r="DN14" i="2"/>
  <c r="DM14" i="2"/>
  <c r="DL14" i="2"/>
  <c r="DK14" i="2"/>
  <c r="DJ14" i="2"/>
  <c r="DI14" i="2"/>
  <c r="DH14" i="2"/>
  <c r="DG14" i="2"/>
  <c r="DF14" i="2"/>
  <c r="CF14" i="2"/>
  <c r="CD14" i="2"/>
  <c r="CC14" i="2"/>
  <c r="CB14" i="2"/>
  <c r="CA14" i="2"/>
  <c r="BZ14" i="2"/>
  <c r="BY14" i="2"/>
  <c r="BX14" i="2"/>
  <c r="BW14" i="2"/>
  <c r="BV14" i="2"/>
  <c r="BU14" i="2"/>
  <c r="BT14" i="2"/>
  <c r="BR14" i="2"/>
  <c r="BQ14" i="2"/>
  <c r="BP14" i="2"/>
  <c r="BO14" i="2"/>
  <c r="BN14" i="2"/>
  <c r="BM14" i="2"/>
  <c r="BL14" i="2"/>
  <c r="BK14" i="2"/>
  <c r="BJ14" i="2"/>
  <c r="BI14" i="2"/>
  <c r="BH14" i="2"/>
  <c r="AH14" i="2"/>
  <c r="U14" i="2"/>
  <c r="BS14" i="2" s="1"/>
  <c r="H14" i="2"/>
  <c r="EA13" i="2"/>
  <c r="DZ13" i="2"/>
  <c r="DY13" i="2"/>
  <c r="DX13" i="2"/>
  <c r="DW13" i="2"/>
  <c r="DV13" i="2"/>
  <c r="DU13" i="2"/>
  <c r="DT13" i="2"/>
  <c r="DS13" i="2"/>
  <c r="DR13" i="2"/>
  <c r="DP13" i="2"/>
  <c r="DO13" i="2"/>
  <c r="DN13" i="2"/>
  <c r="DM13" i="2"/>
  <c r="DL13" i="2"/>
  <c r="DK13" i="2"/>
  <c r="DJ13" i="2"/>
  <c r="DI13" i="2"/>
  <c r="DH13" i="2"/>
  <c r="DG13" i="2"/>
  <c r="DF13" i="2"/>
  <c r="DC13" i="2"/>
  <c r="CR13" i="2"/>
  <c r="CC13" i="2"/>
  <c r="CB13" i="2"/>
  <c r="CA13" i="2"/>
  <c r="BZ13" i="2"/>
  <c r="BY13" i="2"/>
  <c r="BX13" i="2"/>
  <c r="BW13" i="2"/>
  <c r="BV13" i="2"/>
  <c r="BU13" i="2"/>
  <c r="BT13" i="2"/>
  <c r="BR13" i="2"/>
  <c r="BQ13" i="2"/>
  <c r="BP13" i="2"/>
  <c r="BO13" i="2"/>
  <c r="BN13" i="2"/>
  <c r="BM13" i="2"/>
  <c r="BL13" i="2"/>
  <c r="BK13" i="2"/>
  <c r="BJ13" i="2"/>
  <c r="BI13" i="2"/>
  <c r="BH13" i="2"/>
  <c r="BE13" i="2"/>
  <c r="AT13" i="2"/>
  <c r="AF13" i="2"/>
  <c r="U13" i="2"/>
  <c r="H13" i="2"/>
  <c r="EB12" i="2"/>
  <c r="EA12" i="2"/>
  <c r="DZ12" i="2"/>
  <c r="DY12" i="2"/>
  <c r="DX12" i="2"/>
  <c r="DW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G12" i="2"/>
  <c r="DF12" i="2"/>
  <c r="CF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AH12" i="2"/>
  <c r="H12" i="2"/>
  <c r="G12" i="2"/>
  <c r="EB11" i="2"/>
  <c r="DZ11" i="2"/>
  <c r="DY11" i="2"/>
  <c r="DX11" i="2"/>
  <c r="DW11" i="2"/>
  <c r="DV11" i="2"/>
  <c r="DU11" i="2"/>
  <c r="DT11" i="2"/>
  <c r="DS11" i="2"/>
  <c r="DR11" i="2"/>
  <c r="DQ11" i="2"/>
  <c r="DP11" i="2"/>
  <c r="DO11" i="2"/>
  <c r="DN11" i="2"/>
  <c r="DM11" i="2"/>
  <c r="DL11" i="2"/>
  <c r="DK11" i="2"/>
  <c r="DJ11" i="2"/>
  <c r="DI11" i="2"/>
  <c r="DH11" i="2"/>
  <c r="DF11" i="2"/>
  <c r="DB11" i="2"/>
  <c r="DB138" i="2" s="1"/>
  <c r="CH11" i="2"/>
  <c r="CD11" i="2"/>
  <c r="CB11" i="2"/>
  <c r="CA11" i="2"/>
  <c r="BZ11" i="2"/>
  <c r="BY11" i="2"/>
  <c r="BX11" i="2"/>
  <c r="BW11" i="2"/>
  <c r="BV11" i="2"/>
  <c r="BU11" i="2"/>
  <c r="BT11" i="2"/>
  <c r="BS11" i="2"/>
  <c r="BR11" i="2"/>
  <c r="BQ11" i="2"/>
  <c r="BP11" i="2"/>
  <c r="BO11" i="2"/>
  <c r="BN11" i="2"/>
  <c r="BM11" i="2"/>
  <c r="BL11" i="2"/>
  <c r="BK11" i="2"/>
  <c r="BJ11" i="2"/>
  <c r="BH11" i="2"/>
  <c r="BD11" i="2"/>
  <c r="CC11" i="2" s="1"/>
  <c r="AJ11" i="2"/>
  <c r="H11" i="2"/>
  <c r="G11" i="2"/>
  <c r="EB10" i="2"/>
  <c r="EA10" i="2"/>
  <c r="DZ10" i="2"/>
  <c r="DY10" i="2"/>
  <c r="DX10" i="2"/>
  <c r="DW10" i="2"/>
  <c r="DV10" i="2"/>
  <c r="DU10" i="2"/>
  <c r="DT10" i="2"/>
  <c r="DS10" i="2"/>
  <c r="DR10" i="2"/>
  <c r="DQ10" i="2"/>
  <c r="DP10" i="2"/>
  <c r="DO10" i="2"/>
  <c r="DN10" i="2"/>
  <c r="DM10" i="2"/>
  <c r="DL10" i="2"/>
  <c r="DK10" i="2"/>
  <c r="DJ10" i="2"/>
  <c r="DI10" i="2"/>
  <c r="DH10" i="2"/>
  <c r="DF10" i="2"/>
  <c r="CH10" i="2"/>
  <c r="CD10" i="2"/>
  <c r="CB10" i="2"/>
  <c r="CA10" i="2"/>
  <c r="BZ10" i="2"/>
  <c r="BY10" i="2"/>
  <c r="BX10" i="2"/>
  <c r="BW10" i="2"/>
  <c r="BV10" i="2"/>
  <c r="BU10" i="2"/>
  <c r="BT10" i="2"/>
  <c r="BS10" i="2"/>
  <c r="BR10" i="2"/>
  <c r="BQ10" i="2"/>
  <c r="BP10" i="2"/>
  <c r="BO10" i="2"/>
  <c r="BN10" i="2"/>
  <c r="BM10" i="2"/>
  <c r="BL10" i="2"/>
  <c r="BJ10" i="2"/>
  <c r="BH10" i="2"/>
  <c r="BD10" i="2"/>
  <c r="AL10" i="2"/>
  <c r="AL138" i="2" s="1"/>
  <c r="AJ10" i="2"/>
  <c r="K10" i="2"/>
  <c r="G10" i="2" s="1"/>
  <c r="H10" i="2"/>
  <c r="EA9" i="2"/>
  <c r="DZ9" i="2"/>
  <c r="DY9" i="2"/>
  <c r="DX9" i="2"/>
  <c r="DW9" i="2"/>
  <c r="DV9" i="2"/>
  <c r="DU9" i="2"/>
  <c r="DT9" i="2"/>
  <c r="DS9" i="2"/>
  <c r="DR9" i="2"/>
  <c r="DQ9" i="2"/>
  <c r="DP9" i="2"/>
  <c r="DO9" i="2"/>
  <c r="DN9" i="2"/>
  <c r="DM9" i="2"/>
  <c r="DL9" i="2"/>
  <c r="DK9" i="2"/>
  <c r="DJ9" i="2"/>
  <c r="DI9" i="2"/>
  <c r="DH9" i="2"/>
  <c r="DG9" i="2"/>
  <c r="DF9" i="2"/>
  <c r="DC9" i="2"/>
  <c r="CF9" i="2" s="1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E9" i="2"/>
  <c r="AH9" i="2" s="1"/>
  <c r="AF9" i="2"/>
  <c r="G9" i="2" s="1"/>
  <c r="H9" i="2"/>
  <c r="EA8" i="2"/>
  <c r="DZ8" i="2"/>
  <c r="DY8" i="2"/>
  <c r="DX8" i="2"/>
  <c r="DW8" i="2"/>
  <c r="DV8" i="2"/>
  <c r="DU8" i="2"/>
  <c r="DT8" i="2"/>
  <c r="DS8" i="2"/>
  <c r="DR8" i="2"/>
  <c r="DQ8" i="2"/>
  <c r="DP8" i="2"/>
  <c r="DO8" i="2"/>
  <c r="DN8" i="2"/>
  <c r="DM8" i="2"/>
  <c r="DL8" i="2"/>
  <c r="DK8" i="2"/>
  <c r="DJ8" i="2"/>
  <c r="DI8" i="2"/>
  <c r="DH8" i="2"/>
  <c r="DG8" i="2"/>
  <c r="DF8" i="2"/>
  <c r="CF8" i="2"/>
  <c r="CC8" i="2"/>
  <c r="CB8" i="2"/>
  <c r="CA8" i="2"/>
  <c r="BZ8" i="2"/>
  <c r="BY8" i="2"/>
  <c r="BX8" i="2"/>
  <c r="BW8" i="2"/>
  <c r="BV8" i="2"/>
  <c r="BU8" i="2"/>
  <c r="BT8" i="2"/>
  <c r="BS8" i="2"/>
  <c r="BR8" i="2"/>
  <c r="BQ8" i="2"/>
  <c r="BP8" i="2"/>
  <c r="BO8" i="2"/>
  <c r="BN8" i="2"/>
  <c r="BM8" i="2"/>
  <c r="BL8" i="2"/>
  <c r="BK8" i="2"/>
  <c r="BJ8" i="2"/>
  <c r="BI8" i="2"/>
  <c r="BH8" i="2"/>
  <c r="AH8" i="2"/>
  <c r="AF8" i="2"/>
  <c r="CD8" i="2" s="1"/>
  <c r="H8" i="2"/>
  <c r="EB7" i="2"/>
  <c r="EA7" i="2"/>
  <c r="DZ7" i="2"/>
  <c r="DY7" i="2"/>
  <c r="DX7" i="2"/>
  <c r="DV7" i="2"/>
  <c r="DU7" i="2"/>
  <c r="DT7" i="2"/>
  <c r="DS7" i="2"/>
  <c r="DR7" i="2"/>
  <c r="DQ7" i="2"/>
  <c r="DP7" i="2"/>
  <c r="DO7" i="2"/>
  <c r="DN7" i="2"/>
  <c r="DM7" i="2"/>
  <c r="DL7" i="2"/>
  <c r="DK7" i="2"/>
  <c r="DJ7" i="2"/>
  <c r="DI7" i="2"/>
  <c r="DH7" i="2"/>
  <c r="DF7" i="2"/>
  <c r="CH7" i="2"/>
  <c r="CD7" i="2"/>
  <c r="CC7" i="2"/>
  <c r="CB7" i="2"/>
  <c r="CA7" i="2"/>
  <c r="BZ7" i="2"/>
  <c r="BX7" i="2"/>
  <c r="BW7" i="2"/>
  <c r="BV7" i="2"/>
  <c r="BU7" i="2"/>
  <c r="BT7" i="2"/>
  <c r="BS7" i="2"/>
  <c r="BR7" i="2"/>
  <c r="BQ7" i="2"/>
  <c r="BP7" i="2"/>
  <c r="BO7" i="2"/>
  <c r="BN7" i="2"/>
  <c r="BM7" i="2"/>
  <c r="BL7" i="2"/>
  <c r="BK7" i="2"/>
  <c r="BJ7" i="2"/>
  <c r="BH7" i="2"/>
  <c r="AZ7" i="2"/>
  <c r="BY7" i="2" s="1"/>
  <c r="AJ7" i="2"/>
  <c r="K7" i="2"/>
  <c r="H7" i="2"/>
  <c r="EA6" i="2"/>
  <c r="DZ6" i="2"/>
  <c r="DY6" i="2"/>
  <c r="DX6" i="2"/>
  <c r="DV6" i="2"/>
  <c r="DU6" i="2"/>
  <c r="DT6" i="2"/>
  <c r="DS6" i="2"/>
  <c r="DR6" i="2"/>
  <c r="DQ6" i="2"/>
  <c r="DP6" i="2"/>
  <c r="DO6" i="2"/>
  <c r="DN6" i="2"/>
  <c r="DM6" i="2"/>
  <c r="DL6" i="2"/>
  <c r="DK6" i="2"/>
  <c r="DJ6" i="2"/>
  <c r="DI6" i="2"/>
  <c r="DH6" i="2"/>
  <c r="DF6" i="2"/>
  <c r="DC6" i="2"/>
  <c r="CX6" i="2"/>
  <c r="DW6" i="2" s="1"/>
  <c r="CH6" i="2"/>
  <c r="CC6" i="2"/>
  <c r="CB6" i="2"/>
  <c r="CA6" i="2"/>
  <c r="BZ6" i="2"/>
  <c r="BX6" i="2"/>
  <c r="BW6" i="2"/>
  <c r="BV6" i="2"/>
  <c r="BU6" i="2"/>
  <c r="BT6" i="2"/>
  <c r="BS6" i="2"/>
  <c r="BR6" i="2"/>
  <c r="BQ6" i="2"/>
  <c r="BP6" i="2"/>
  <c r="BO6" i="2"/>
  <c r="BN6" i="2"/>
  <c r="BM6" i="2"/>
  <c r="BL6" i="2"/>
  <c r="BK6" i="2"/>
  <c r="BJ6" i="2"/>
  <c r="BH6" i="2"/>
  <c r="BE6" i="2"/>
  <c r="AZ6" i="2"/>
  <c r="AJ6" i="2"/>
  <c r="AF6" i="2"/>
  <c r="K6" i="2"/>
  <c r="H6" i="2"/>
  <c r="J146" i="1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L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N139" i="1"/>
  <c r="AM139" i="1"/>
  <c r="AL139" i="1"/>
  <c r="AK139" i="1"/>
  <c r="AI139" i="1"/>
  <c r="AE139" i="1"/>
  <c r="AC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A138" i="1"/>
  <c r="CZ138" i="1"/>
  <c r="CY138" i="1"/>
  <c r="CW138" i="1"/>
  <c r="CV138" i="1"/>
  <c r="CU138" i="1"/>
  <c r="CT138" i="1"/>
  <c r="CS138" i="1"/>
  <c r="CQ138" i="1"/>
  <c r="CP138" i="1"/>
  <c r="CO138" i="1"/>
  <c r="CN138" i="1"/>
  <c r="CM138" i="1"/>
  <c r="CK138" i="1"/>
  <c r="CJ138" i="1"/>
  <c r="CI138" i="1"/>
  <c r="CG138" i="1"/>
  <c r="BC138" i="1"/>
  <c r="BB138" i="1"/>
  <c r="BA138" i="1"/>
  <c r="AY138" i="1"/>
  <c r="AX138" i="1"/>
  <c r="AW138" i="1"/>
  <c r="AV138" i="1"/>
  <c r="AU138" i="1"/>
  <c r="AS138" i="1"/>
  <c r="AR138" i="1"/>
  <c r="AQ138" i="1"/>
  <c r="AP138" i="1"/>
  <c r="AO138" i="1"/>
  <c r="AM138" i="1"/>
  <c r="AK138" i="1"/>
  <c r="AI138" i="1"/>
  <c r="AE138" i="1"/>
  <c r="AC138" i="1"/>
  <c r="AB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X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Z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A137" i="1"/>
  <c r="Z137" i="1"/>
  <c r="X137" i="1"/>
  <c r="W137" i="1"/>
  <c r="V137" i="1"/>
  <c r="U137" i="1"/>
  <c r="P137" i="1"/>
  <c r="O137" i="1"/>
  <c r="N137" i="1"/>
  <c r="M137" i="1"/>
  <c r="L137" i="1"/>
  <c r="J137" i="1"/>
  <c r="DB136" i="1"/>
  <c r="DA136" i="1"/>
  <c r="CZ136" i="1"/>
  <c r="CY136" i="1"/>
  <c r="CX136" i="1"/>
  <c r="CW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Y136" i="1"/>
  <c r="AX136" i="1"/>
  <c r="AW136" i="1"/>
  <c r="AV136" i="1"/>
  <c r="AU136" i="1"/>
  <c r="AS136" i="1"/>
  <c r="AR136" i="1"/>
  <c r="AQ136" i="1"/>
  <c r="AP136" i="1"/>
  <c r="AO136" i="1"/>
  <c r="AN136" i="1"/>
  <c r="AM136" i="1"/>
  <c r="AL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M136" i="1"/>
  <c r="L136" i="1"/>
  <c r="J136" i="1"/>
  <c r="DB135" i="1"/>
  <c r="DA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CH135" i="1"/>
  <c r="CG135" i="1"/>
  <c r="BD135" i="1"/>
  <c r="BC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J135" i="1"/>
  <c r="AE135" i="1"/>
  <c r="AB135" i="1"/>
  <c r="AA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W134" i="1"/>
  <c r="CU134" i="1"/>
  <c r="CT134" i="1"/>
  <c r="CS134" i="1"/>
  <c r="CN134" i="1"/>
  <c r="CL134" i="1"/>
  <c r="CK134" i="1"/>
  <c r="CJ134" i="1"/>
  <c r="CI134" i="1"/>
  <c r="BC134" i="1"/>
  <c r="BB134" i="1"/>
  <c r="AY134" i="1"/>
  <c r="AW134" i="1"/>
  <c r="AV134" i="1"/>
  <c r="AN134" i="1"/>
  <c r="AM134" i="1"/>
  <c r="AL134" i="1"/>
  <c r="AK134" i="1"/>
  <c r="AE134" i="1"/>
  <c r="AC134" i="1"/>
  <c r="AB134" i="1"/>
  <c r="AA134" i="1"/>
  <c r="Z134" i="1"/>
  <c r="Y134" i="1"/>
  <c r="X134" i="1"/>
  <c r="W134" i="1"/>
  <c r="V134" i="1"/>
  <c r="U134" i="1"/>
  <c r="N134" i="1"/>
  <c r="M134" i="1"/>
  <c r="L134" i="1"/>
  <c r="J134" i="1"/>
  <c r="DB133" i="1"/>
  <c r="DA133" i="1"/>
  <c r="CZ133" i="1"/>
  <c r="CY133" i="1"/>
  <c r="CX133" i="1"/>
  <c r="CW133" i="1"/>
  <c r="CV133" i="1"/>
  <c r="CU133" i="1"/>
  <c r="CT133" i="1"/>
  <c r="CS133" i="1"/>
  <c r="CS140" i="1" s="1"/>
  <c r="CR133" i="1"/>
  <c r="CQ133" i="1"/>
  <c r="CP133" i="1"/>
  <c r="CO133" i="1"/>
  <c r="CM133" i="1"/>
  <c r="CL133" i="1"/>
  <c r="CJ133" i="1"/>
  <c r="CJ140" i="1" s="1"/>
  <c r="CI133" i="1"/>
  <c r="CI140" i="1" s="1"/>
  <c r="CH133" i="1"/>
  <c r="BC133" i="1"/>
  <c r="BB133" i="1"/>
  <c r="BA133" i="1"/>
  <c r="AY133" i="1"/>
  <c r="AX133" i="1"/>
  <c r="AU133" i="1"/>
  <c r="AT133" i="1"/>
  <c r="AS133" i="1"/>
  <c r="AR133" i="1"/>
  <c r="AO133" i="1"/>
  <c r="AN133" i="1"/>
  <c r="AL133" i="1"/>
  <c r="AK133" i="1"/>
  <c r="AJ133" i="1"/>
  <c r="AD133" i="1"/>
  <c r="AC133" i="1"/>
  <c r="Z133" i="1"/>
  <c r="Y133" i="1"/>
  <c r="V133" i="1"/>
  <c r="V140" i="1" s="1"/>
  <c r="U133" i="1"/>
  <c r="P133" i="1"/>
  <c r="O133" i="1"/>
  <c r="N133" i="1"/>
  <c r="N140" i="1" s="1"/>
  <c r="M133" i="1"/>
  <c r="L133" i="1"/>
  <c r="L140" i="1" s="1"/>
  <c r="K133" i="1"/>
  <c r="J133" i="1"/>
  <c r="DB129" i="1"/>
  <c r="DA129" i="1"/>
  <c r="CZ129" i="1"/>
  <c r="CW129" i="1"/>
  <c r="CU129" i="1"/>
  <c r="CT129" i="1"/>
  <c r="CS129" i="1"/>
  <c r="CJ129" i="1"/>
  <c r="CI129" i="1"/>
  <c r="BC129" i="1"/>
  <c r="BB129" i="1"/>
  <c r="AY129" i="1"/>
  <c r="AL129" i="1"/>
  <c r="AK129" i="1"/>
  <c r="AD129" i="1"/>
  <c r="AC129" i="1"/>
  <c r="Z129" i="1"/>
  <c r="Y129" i="1"/>
  <c r="V129" i="1"/>
  <c r="U129" i="1"/>
  <c r="N129" i="1"/>
  <c r="M129" i="1"/>
  <c r="L129" i="1"/>
  <c r="J129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DC128" i="1"/>
  <c r="EB128" i="1" s="1"/>
  <c r="CH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CD128" i="1" s="1"/>
  <c r="AJ128" i="1"/>
  <c r="K128" i="1"/>
  <c r="DG128" i="1" s="1"/>
  <c r="H128" i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F127" i="1" s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AH127" i="1" s="1"/>
  <c r="K127" i="1"/>
  <c r="K136" i="1" s="1"/>
  <c r="H127" i="1"/>
  <c r="EB126" i="1"/>
  <c r="EA126" i="1"/>
  <c r="DZ126" i="1"/>
  <c r="DY126" i="1"/>
  <c r="DX126" i="1"/>
  <c r="DW126" i="1"/>
  <c r="DV126" i="1"/>
  <c r="DU126" i="1"/>
  <c r="DT126" i="1"/>
  <c r="DS126" i="1"/>
  <c r="DR126" i="1"/>
  <c r="DQ126" i="1"/>
  <c r="DP126" i="1"/>
  <c r="DO126" i="1"/>
  <c r="DN126" i="1"/>
  <c r="DM126" i="1"/>
  <c r="DL126" i="1"/>
  <c r="DJ126" i="1"/>
  <c r="DI126" i="1"/>
  <c r="DH126" i="1"/>
  <c r="DF126" i="1"/>
  <c r="CL126" i="1"/>
  <c r="CL138" i="1" s="1"/>
  <c r="CH126" i="1"/>
  <c r="CF126" i="1" s="1"/>
  <c r="CD126" i="1"/>
  <c r="CC126" i="1"/>
  <c r="CB126" i="1"/>
  <c r="CA126" i="1"/>
  <c r="BZ126" i="1"/>
  <c r="BY126" i="1"/>
  <c r="BX126" i="1"/>
  <c r="BW126" i="1"/>
  <c r="BV126" i="1"/>
  <c r="BU126" i="1"/>
  <c r="BT126" i="1"/>
  <c r="BS126" i="1"/>
  <c r="BR126" i="1"/>
  <c r="BQ126" i="1"/>
  <c r="BP126" i="1"/>
  <c r="BO126" i="1"/>
  <c r="BN126" i="1"/>
  <c r="BL126" i="1"/>
  <c r="BK126" i="1"/>
  <c r="BJ126" i="1"/>
  <c r="BH126" i="1"/>
  <c r="AN126" i="1"/>
  <c r="AN138" i="1" s="1"/>
  <c r="AJ126" i="1"/>
  <c r="K126" i="1"/>
  <c r="DG126" i="1" s="1"/>
  <c r="H126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CF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AH125" i="1" s="1"/>
  <c r="H125" i="1"/>
  <c r="I125" i="1" s="1"/>
  <c r="G125" i="1"/>
  <c r="ED125" i="1" s="1"/>
  <c r="EB124" i="1"/>
  <c r="EA124" i="1"/>
  <c r="DZ124" i="1"/>
  <c r="DY124" i="1"/>
  <c r="DX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X124" i="1"/>
  <c r="DW124" i="1" s="1"/>
  <c r="CH124" i="1"/>
  <c r="CD124" i="1"/>
  <c r="CC124" i="1"/>
  <c r="CB124" i="1"/>
  <c r="CA124" i="1"/>
  <c r="BZ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Z124" i="1"/>
  <c r="BY124" i="1" s="1"/>
  <c r="AJ124" i="1"/>
  <c r="K124" i="1"/>
  <c r="DG124" i="1" s="1"/>
  <c r="H124" i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H123" i="1"/>
  <c r="DG123" i="1" s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BI123" i="1" s="1"/>
  <c r="H123" i="1"/>
  <c r="I123" i="1" s="1"/>
  <c r="G123" i="1"/>
  <c r="ED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DW122" i="1" s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AJ122" i="1"/>
  <c r="AA122" i="1"/>
  <c r="K122" i="1"/>
  <c r="G122" i="1" s="1"/>
  <c r="ED122" i="1" s="1"/>
  <c r="H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F121" i="1"/>
  <c r="CH121" i="1"/>
  <c r="DG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H121" i="1"/>
  <c r="AJ121" i="1"/>
  <c r="BI121" i="1" s="1"/>
  <c r="BG121" i="1" s="1"/>
  <c r="H121" i="1"/>
  <c r="I121" i="1" s="1"/>
  <c r="G121" i="1"/>
  <c r="ED121" i="1" s="1"/>
  <c r="EB120" i="1"/>
  <c r="EA120" i="1"/>
  <c r="DZ120" i="1"/>
  <c r="DY120" i="1"/>
  <c r="DX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X120" i="1"/>
  <c r="CH120" i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AA120" i="1"/>
  <c r="AA138" i="1" s="1"/>
  <c r="K120" i="1"/>
  <c r="H120" i="1"/>
  <c r="ED119" i="1"/>
  <c r="EB119" i="1"/>
  <c r="EA119" i="1"/>
  <c r="DZ119" i="1"/>
  <c r="DY119" i="1"/>
  <c r="DX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DF119" i="1"/>
  <c r="CX119" i="1"/>
  <c r="DW119" i="1" s="1"/>
  <c r="CH119" i="1"/>
  <c r="DG119" i="1" s="1"/>
  <c r="CD119" i="1"/>
  <c r="CC119" i="1"/>
  <c r="CB119" i="1"/>
  <c r="CA119" i="1"/>
  <c r="BZ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BH119" i="1"/>
  <c r="AZ119" i="1"/>
  <c r="BY119" i="1" s="1"/>
  <c r="AJ119" i="1"/>
  <c r="BI119" i="1" s="1"/>
  <c r="AH119" i="1"/>
  <c r="H119" i="1"/>
  <c r="I119" i="1" s="1"/>
  <c r="G119" i="1"/>
  <c r="EB118" i="1"/>
  <c r="EA118" i="1"/>
  <c r="DZ118" i="1"/>
  <c r="DY118" i="1"/>
  <c r="DX118" i="1"/>
  <c r="DW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H118" i="1"/>
  <c r="CF118" i="1" s="1"/>
  <c r="CD118" i="1"/>
  <c r="CC118" i="1"/>
  <c r="CB118" i="1"/>
  <c r="CA118" i="1"/>
  <c r="BZ118" i="1"/>
  <c r="BY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J118" i="1"/>
  <c r="AH118" i="1" s="1"/>
  <c r="AG118" i="1" s="1"/>
  <c r="BF118" i="1" s="1"/>
  <c r="K118" i="1"/>
  <c r="H118" i="1"/>
  <c r="G118" i="1"/>
  <c r="ED118" i="1" s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X117" i="1"/>
  <c r="CH117" i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BY117" i="1" s="1"/>
  <c r="AJ117" i="1"/>
  <c r="K117" i="1"/>
  <c r="H117" i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DW116" i="1" s="1"/>
  <c r="CH116" i="1"/>
  <c r="DG116" i="1" s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Z116" i="1"/>
  <c r="AJ116" i="1"/>
  <c r="BI116" i="1" s="1"/>
  <c r="H116" i="1"/>
  <c r="G116" i="1"/>
  <c r="ED116" i="1" s="1"/>
  <c r="EA115" i="1"/>
  <c r="DZ115" i="1"/>
  <c r="DY115" i="1"/>
  <c r="DX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CX115" i="1"/>
  <c r="DW115" i="1" s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K115" i="1"/>
  <c r="BJ115" i="1"/>
  <c r="BI115" i="1"/>
  <c r="BH115" i="1"/>
  <c r="BE115" i="1"/>
  <c r="AZ115" i="1"/>
  <c r="BY115" i="1" s="1"/>
  <c r="AF115" i="1"/>
  <c r="EB115" i="1" s="1"/>
  <c r="H115" i="1"/>
  <c r="EA114" i="1"/>
  <c r="DZ114" i="1"/>
  <c r="DY114" i="1"/>
  <c r="DX114" i="1"/>
  <c r="DV114" i="1"/>
  <c r="DT114" i="1"/>
  <c r="DS114" i="1"/>
  <c r="DR114" i="1"/>
  <c r="DQ114" i="1"/>
  <c r="DP114" i="1"/>
  <c r="DO114" i="1"/>
  <c r="DN114" i="1"/>
  <c r="DM114" i="1"/>
  <c r="DK114" i="1"/>
  <c r="DJ114" i="1"/>
  <c r="DI114" i="1"/>
  <c r="DH114" i="1"/>
  <c r="DG114" i="1"/>
  <c r="DF114" i="1"/>
  <c r="CX114" i="1"/>
  <c r="DW114" i="1" s="1"/>
  <c r="CV114" i="1"/>
  <c r="CM114" i="1"/>
  <c r="CC114" i="1"/>
  <c r="CB114" i="1"/>
  <c r="CA114" i="1"/>
  <c r="BZ114" i="1"/>
  <c r="BX114" i="1"/>
  <c r="BV114" i="1"/>
  <c r="BU114" i="1"/>
  <c r="BT114" i="1"/>
  <c r="BS114" i="1"/>
  <c r="BR114" i="1"/>
  <c r="BQ114" i="1"/>
  <c r="BP114" i="1"/>
  <c r="BO114" i="1"/>
  <c r="BM114" i="1"/>
  <c r="BL114" i="1"/>
  <c r="BK114" i="1"/>
  <c r="BJ114" i="1"/>
  <c r="BI114" i="1"/>
  <c r="BH114" i="1"/>
  <c r="AZ114" i="1"/>
  <c r="BY114" i="1" s="1"/>
  <c r="AX114" i="1"/>
  <c r="BW114" i="1" s="1"/>
  <c r="AO114" i="1"/>
  <c r="AF114" i="1"/>
  <c r="EB114" i="1" s="1"/>
  <c r="P114" i="1"/>
  <c r="H114" i="1"/>
  <c r="EA113" i="1"/>
  <c r="DZ113" i="1"/>
  <c r="DY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Y113" i="1"/>
  <c r="CP113" i="1"/>
  <c r="CC113" i="1"/>
  <c r="CB113" i="1"/>
  <c r="CA113" i="1"/>
  <c r="BY113" i="1"/>
  <c r="BX113" i="1"/>
  <c r="BW113" i="1"/>
  <c r="BV113" i="1"/>
  <c r="BU113" i="1"/>
  <c r="BT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BA113" i="1"/>
  <c r="BZ113" i="1" s="1"/>
  <c r="AR113" i="1"/>
  <c r="AF113" i="1"/>
  <c r="S113" i="1"/>
  <c r="H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G112" i="1"/>
  <c r="DF112" i="1"/>
  <c r="CF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H112" i="1"/>
  <c r="AH112" i="1"/>
  <c r="AG112" i="1"/>
  <c r="BF112" i="1" s="1"/>
  <c r="H112" i="1"/>
  <c r="G112" i="1"/>
  <c r="ED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O111" i="1"/>
  <c r="DM111" i="1"/>
  <c r="DL111" i="1"/>
  <c r="DK111" i="1"/>
  <c r="DJ111" i="1"/>
  <c r="DI111" i="1"/>
  <c r="DH111" i="1"/>
  <c r="DG111" i="1"/>
  <c r="DF111" i="1"/>
  <c r="DC111" i="1"/>
  <c r="CF111" i="1" s="1"/>
  <c r="CC111" i="1"/>
  <c r="CB111" i="1"/>
  <c r="CA111" i="1"/>
  <c r="BZ111" i="1"/>
  <c r="BY111" i="1"/>
  <c r="BX111" i="1"/>
  <c r="BW111" i="1"/>
  <c r="BV111" i="1"/>
  <c r="BU111" i="1"/>
  <c r="BT111" i="1"/>
  <c r="BS111" i="1"/>
  <c r="BQ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T111" i="1"/>
  <c r="DP111" i="1" s="1"/>
  <c r="R111" i="1"/>
  <c r="DN111" i="1" s="1"/>
  <c r="H111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CF110" i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AH110" i="1"/>
  <c r="H110" i="1"/>
  <c r="G110" i="1"/>
  <c r="ED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M109" i="1"/>
  <c r="DL109" i="1"/>
  <c r="DJ109" i="1"/>
  <c r="DI109" i="1"/>
  <c r="DH109" i="1"/>
  <c r="DG109" i="1"/>
  <c r="DF109" i="1"/>
  <c r="DC109" i="1"/>
  <c r="CF109" i="1" s="1"/>
  <c r="CB109" i="1"/>
  <c r="CA109" i="1"/>
  <c r="BZ109" i="1"/>
  <c r="BY109" i="1"/>
  <c r="BX109" i="1"/>
  <c r="BW109" i="1"/>
  <c r="BV109" i="1"/>
  <c r="BU109" i="1"/>
  <c r="BT109" i="1"/>
  <c r="BS109" i="1"/>
  <c r="BR109" i="1"/>
  <c r="BO109" i="1"/>
  <c r="BN109" i="1"/>
  <c r="BL109" i="1"/>
  <c r="BK109" i="1"/>
  <c r="BJ109" i="1"/>
  <c r="BI109" i="1"/>
  <c r="BH109" i="1"/>
  <c r="BE109" i="1"/>
  <c r="CD109" i="1" s="1"/>
  <c r="BD109" i="1"/>
  <c r="CC109" i="1" s="1"/>
  <c r="AF109" i="1"/>
  <c r="T109" i="1"/>
  <c r="S109" i="1"/>
  <c r="DO109" i="1" s="1"/>
  <c r="R109" i="1"/>
  <c r="O109" i="1"/>
  <c r="DK109" i="1" s="1"/>
  <c r="H109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L108" i="1"/>
  <c r="DK108" i="1"/>
  <c r="DJ108" i="1"/>
  <c r="DI108" i="1"/>
  <c r="DH108" i="1"/>
  <c r="DG108" i="1"/>
  <c r="DF108" i="1"/>
  <c r="CF108" i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N108" i="1"/>
  <c r="BM108" i="1"/>
  <c r="BL108" i="1"/>
  <c r="BK108" i="1"/>
  <c r="BJ108" i="1"/>
  <c r="BI108" i="1"/>
  <c r="AI108" i="1"/>
  <c r="BH108" i="1" s="1"/>
  <c r="BG108" i="1" s="1"/>
  <c r="Q108" i="1"/>
  <c r="BO108" i="1" s="1"/>
  <c r="H108" i="1"/>
  <c r="G108" i="1"/>
  <c r="ED108" i="1" s="1"/>
  <c r="EB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L107" i="1"/>
  <c r="DJ107" i="1"/>
  <c r="DI107" i="1"/>
  <c r="DH107" i="1"/>
  <c r="DG107" i="1"/>
  <c r="DF107" i="1"/>
  <c r="CF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N107" i="1"/>
  <c r="BL107" i="1"/>
  <c r="BK107" i="1"/>
  <c r="BJ107" i="1"/>
  <c r="BI107" i="1"/>
  <c r="BH107" i="1"/>
  <c r="AH107" i="1"/>
  <c r="Q107" i="1"/>
  <c r="O107" i="1"/>
  <c r="H107" i="1"/>
  <c r="EB106" i="1"/>
  <c r="EA106" i="1"/>
  <c r="DZ106" i="1"/>
  <c r="DY106" i="1"/>
  <c r="DX106" i="1"/>
  <c r="DW106" i="1"/>
  <c r="DV106" i="1"/>
  <c r="DU106" i="1"/>
  <c r="DT106" i="1"/>
  <c r="DS106" i="1"/>
  <c r="DR106" i="1"/>
  <c r="DQ106" i="1"/>
  <c r="DP106" i="1"/>
  <c r="DO106" i="1"/>
  <c r="DN106" i="1"/>
  <c r="DL106" i="1"/>
  <c r="DK106" i="1"/>
  <c r="DJ106" i="1"/>
  <c r="DI106" i="1"/>
  <c r="DH106" i="1"/>
  <c r="DG106" i="1"/>
  <c r="CG106" i="1"/>
  <c r="DF106" i="1" s="1"/>
  <c r="CD106" i="1"/>
  <c r="CC106" i="1"/>
  <c r="CB106" i="1"/>
  <c r="CA106" i="1"/>
  <c r="BZ106" i="1"/>
  <c r="BY106" i="1"/>
  <c r="BX106" i="1"/>
  <c r="BW106" i="1"/>
  <c r="BV106" i="1"/>
  <c r="BU106" i="1"/>
  <c r="BT106" i="1"/>
  <c r="BS106" i="1"/>
  <c r="BR106" i="1"/>
  <c r="BQ106" i="1"/>
  <c r="BP106" i="1"/>
  <c r="BN106" i="1"/>
  <c r="BM106" i="1"/>
  <c r="BL106" i="1"/>
  <c r="BK106" i="1"/>
  <c r="BJ106" i="1"/>
  <c r="BI106" i="1"/>
  <c r="AP106" i="1"/>
  <c r="AP134" i="1" s="1"/>
  <c r="AI106" i="1"/>
  <c r="BH106" i="1" s="1"/>
  <c r="Q106" i="1"/>
  <c r="H106" i="1"/>
  <c r="EB105" i="1"/>
  <c r="EA105" i="1"/>
  <c r="DZ105" i="1"/>
  <c r="DY105" i="1"/>
  <c r="DX105" i="1"/>
  <c r="DW105" i="1"/>
  <c r="DV105" i="1"/>
  <c r="DU105" i="1"/>
  <c r="DT105" i="1"/>
  <c r="DS105" i="1"/>
  <c r="DR105" i="1"/>
  <c r="DQ105" i="1"/>
  <c r="DM105" i="1"/>
  <c r="DL105" i="1"/>
  <c r="DK105" i="1"/>
  <c r="DJ105" i="1"/>
  <c r="DI105" i="1"/>
  <c r="DH105" i="1"/>
  <c r="DG105" i="1"/>
  <c r="DF105" i="1"/>
  <c r="CQ105" i="1"/>
  <c r="DP105" i="1" s="1"/>
  <c r="CP105" i="1"/>
  <c r="DO105" i="1" s="1"/>
  <c r="CO105" i="1"/>
  <c r="DN105" i="1" s="1"/>
  <c r="CD105" i="1"/>
  <c r="CC105" i="1"/>
  <c r="CB105" i="1"/>
  <c r="CA105" i="1"/>
  <c r="BZ105" i="1"/>
  <c r="BY105" i="1"/>
  <c r="BX105" i="1"/>
  <c r="BW105" i="1"/>
  <c r="BV105" i="1"/>
  <c r="BU105" i="1"/>
  <c r="BT105" i="1"/>
  <c r="BS105" i="1"/>
  <c r="BO105" i="1"/>
  <c r="BN105" i="1"/>
  <c r="BM105" i="1"/>
  <c r="BL105" i="1"/>
  <c r="BK105" i="1"/>
  <c r="BJ105" i="1"/>
  <c r="BI105" i="1"/>
  <c r="BH105" i="1"/>
  <c r="AS105" i="1"/>
  <c r="BR105" i="1" s="1"/>
  <c r="AR105" i="1"/>
  <c r="AQ105" i="1"/>
  <c r="S105" i="1"/>
  <c r="H105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I104" i="1"/>
  <c r="BH104" i="1"/>
  <c r="AH104" i="1"/>
  <c r="AF104" i="1"/>
  <c r="CD104" i="1" s="1"/>
  <c r="H104" i="1"/>
  <c r="EA103" i="1"/>
  <c r="EA134" i="1" s="1"/>
  <c r="DZ103" i="1"/>
  <c r="DY103" i="1"/>
  <c r="DY134" i="1" s="1"/>
  <c r="DX103" i="1"/>
  <c r="DV103" i="1"/>
  <c r="DV134" i="1" s="1"/>
  <c r="DU103" i="1"/>
  <c r="DT103" i="1"/>
  <c r="DS103" i="1"/>
  <c r="DR103" i="1"/>
  <c r="DR134" i="1" s="1"/>
  <c r="DM103" i="1"/>
  <c r="DL103" i="1"/>
  <c r="DK103" i="1"/>
  <c r="DJ103" i="1"/>
  <c r="DJ134" i="1" s="1"/>
  <c r="DI103" i="1"/>
  <c r="DH103" i="1"/>
  <c r="DG103" i="1"/>
  <c r="DC103" i="1"/>
  <c r="CX103" i="1"/>
  <c r="DW103" i="1" s="1"/>
  <c r="CR103" i="1"/>
  <c r="CQ103" i="1"/>
  <c r="CP103" i="1"/>
  <c r="CO103" i="1"/>
  <c r="CG103" i="1"/>
  <c r="CB103" i="1"/>
  <c r="CA103" i="1"/>
  <c r="CA134" i="1" s="1"/>
  <c r="BZ103" i="1"/>
  <c r="BX103" i="1"/>
  <c r="BW103" i="1"/>
  <c r="BV103" i="1"/>
  <c r="BV134" i="1" s="1"/>
  <c r="BU103" i="1"/>
  <c r="BO103" i="1"/>
  <c r="BN103" i="1"/>
  <c r="BM103" i="1"/>
  <c r="BL103" i="1"/>
  <c r="BK103" i="1"/>
  <c r="BJ103" i="1"/>
  <c r="BI103" i="1"/>
  <c r="BE103" i="1"/>
  <c r="BD103" i="1"/>
  <c r="AZ103" i="1"/>
  <c r="AU103" i="1"/>
  <c r="BT103" i="1" s="1"/>
  <c r="BT134" i="1" s="1"/>
  <c r="AT103" i="1"/>
  <c r="BS103" i="1" s="1"/>
  <c r="AS103" i="1"/>
  <c r="AR103" i="1"/>
  <c r="AQ103" i="1"/>
  <c r="AI103" i="1"/>
  <c r="AF103" i="1"/>
  <c r="T103" i="1"/>
  <c r="T134" i="1" s="1"/>
  <c r="S103" i="1"/>
  <c r="S134" i="1" s="1"/>
  <c r="R103" i="1"/>
  <c r="H103" i="1"/>
  <c r="EB102" i="1"/>
  <c r="EA102" i="1"/>
  <c r="DZ102" i="1"/>
  <c r="DY102" i="1"/>
  <c r="DW102" i="1"/>
  <c r="DV102" i="1"/>
  <c r="DU102" i="1"/>
  <c r="DT102" i="1"/>
  <c r="DS102" i="1"/>
  <c r="DR102" i="1"/>
  <c r="DQ102" i="1"/>
  <c r="DP102" i="1"/>
  <c r="DO102" i="1"/>
  <c r="DN102" i="1"/>
  <c r="DL102" i="1"/>
  <c r="DK102" i="1"/>
  <c r="DJ102" i="1"/>
  <c r="DI102" i="1"/>
  <c r="DH102" i="1"/>
  <c r="DG102" i="1"/>
  <c r="DF102" i="1"/>
  <c r="CN102" i="1"/>
  <c r="CD102" i="1"/>
  <c r="CC102" i="1"/>
  <c r="CB102" i="1"/>
  <c r="CA102" i="1"/>
  <c r="BY102" i="1"/>
  <c r="BX102" i="1"/>
  <c r="BW102" i="1"/>
  <c r="BV102" i="1"/>
  <c r="BU102" i="1"/>
  <c r="BT102" i="1"/>
  <c r="BS102" i="1"/>
  <c r="BR102" i="1"/>
  <c r="BQ102" i="1"/>
  <c r="BP102" i="1"/>
  <c r="BN102" i="1"/>
  <c r="BM102" i="1"/>
  <c r="BL102" i="1"/>
  <c r="BK102" i="1"/>
  <c r="BJ102" i="1"/>
  <c r="BI102" i="1"/>
  <c r="BH102" i="1"/>
  <c r="AP102" i="1"/>
  <c r="AB102" i="1"/>
  <c r="DX102" i="1" s="1"/>
  <c r="Q102" i="1"/>
  <c r="H102" i="1"/>
  <c r="EA101" i="1"/>
  <c r="DZ101" i="1"/>
  <c r="DY101" i="1"/>
  <c r="DX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C101" i="1"/>
  <c r="CB101" i="1"/>
  <c r="CA101" i="1"/>
  <c r="BZ101" i="1"/>
  <c r="BX101" i="1"/>
  <c r="BW101" i="1"/>
  <c r="BV101" i="1"/>
  <c r="BU101" i="1"/>
  <c r="BT101" i="1"/>
  <c r="BS101" i="1"/>
  <c r="BR101" i="1"/>
  <c r="BP101" i="1"/>
  <c r="BO101" i="1"/>
  <c r="BN101" i="1"/>
  <c r="BM101" i="1"/>
  <c r="BL101" i="1"/>
  <c r="BK101" i="1"/>
  <c r="BJ101" i="1"/>
  <c r="BI101" i="1"/>
  <c r="BH101" i="1"/>
  <c r="BE101" i="1"/>
  <c r="BD101" i="1"/>
  <c r="CC101" i="1" s="1"/>
  <c r="AZ101" i="1"/>
  <c r="AF101" i="1"/>
  <c r="AA101" i="1"/>
  <c r="S101" i="1"/>
  <c r="H101" i="1"/>
  <c r="EB100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CF100" i="1"/>
  <c r="CE100" i="1"/>
  <c r="DD100" i="1" s="1"/>
  <c r="CD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G100" i="1" s="1"/>
  <c r="EE100" i="1" s="1"/>
  <c r="BI100" i="1"/>
  <c r="BH100" i="1"/>
  <c r="AH100" i="1"/>
  <c r="AG100" i="1" s="1"/>
  <c r="BF100" i="1" s="1"/>
  <c r="H100" i="1"/>
  <c r="I100" i="1" s="1"/>
  <c r="G100" i="1"/>
  <c r="ED100" i="1" s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CF99" i="1"/>
  <c r="CE99" i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G99" i="1" s="1"/>
  <c r="BI99" i="1"/>
  <c r="BH99" i="1"/>
  <c r="AH99" i="1"/>
  <c r="AG99" i="1" s="1"/>
  <c r="BF99" i="1" s="1"/>
  <c r="H99" i="1"/>
  <c r="I99" i="1" s="1"/>
  <c r="G99" i="1"/>
  <c r="ED99" i="1" s="1"/>
  <c r="EB98" i="1"/>
  <c r="DZ98" i="1"/>
  <c r="DY98" i="1"/>
  <c r="DV98" i="1"/>
  <c r="DU98" i="1"/>
  <c r="DR98" i="1"/>
  <c r="DQ98" i="1"/>
  <c r="DP98" i="1"/>
  <c r="DM98" i="1"/>
  <c r="DL98" i="1"/>
  <c r="DK98" i="1"/>
  <c r="DI98" i="1"/>
  <c r="DH98" i="1"/>
  <c r="DG98" i="1"/>
  <c r="CK98" i="1"/>
  <c r="DJ98" i="1" s="1"/>
  <c r="CG98" i="1"/>
  <c r="CB98" i="1"/>
  <c r="CA98" i="1"/>
  <c r="BX98" i="1"/>
  <c r="BW98" i="1"/>
  <c r="BT98" i="1"/>
  <c r="BS98" i="1"/>
  <c r="BO98" i="1"/>
  <c r="BN98" i="1"/>
  <c r="BM98" i="1"/>
  <c r="BK98" i="1"/>
  <c r="BJ98" i="1"/>
  <c r="BI98" i="1"/>
  <c r="BE98" i="1"/>
  <c r="AW98" i="1"/>
  <c r="AV98" i="1"/>
  <c r="AQ98" i="1"/>
  <c r="BP98" i="1" s="1"/>
  <c r="AM98" i="1"/>
  <c r="AI98" i="1"/>
  <c r="AE98" i="1"/>
  <c r="AB98" i="1"/>
  <c r="BZ98" i="1" s="1"/>
  <c r="AA98" i="1"/>
  <c r="DW98" i="1" s="1"/>
  <c r="X98" i="1"/>
  <c r="DT98" i="1" s="1"/>
  <c r="W98" i="1"/>
  <c r="T98" i="1"/>
  <c r="BR98" i="1" s="1"/>
  <c r="S98" i="1"/>
  <c r="R98" i="1"/>
  <c r="DN98" i="1" s="1"/>
  <c r="H98" i="1"/>
  <c r="DB97" i="1"/>
  <c r="DA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CH97" i="1"/>
  <c r="CG97" i="1"/>
  <c r="BD97" i="1"/>
  <c r="BC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J97" i="1"/>
  <c r="AE97" i="1"/>
  <c r="AD97" i="1"/>
  <c r="AB97" i="1"/>
  <c r="AA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G96" i="1"/>
  <c r="DF96" i="1"/>
  <c r="CW96" i="1"/>
  <c r="DV96" i="1" s="1"/>
  <c r="CD96" i="1"/>
  <c r="CC96" i="1"/>
  <c r="CB96" i="1"/>
  <c r="CA96" i="1"/>
  <c r="BZ96" i="1"/>
  <c r="BY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Y96" i="1"/>
  <c r="BX96" i="1" s="1"/>
  <c r="H96" i="1"/>
  <c r="I96" i="1" s="1"/>
  <c r="G96" i="1"/>
  <c r="ED96" i="1" s="1"/>
  <c r="EA95" i="1"/>
  <c r="DZ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DG95" i="1"/>
  <c r="DF95" i="1"/>
  <c r="DC95" i="1"/>
  <c r="CZ95" i="1"/>
  <c r="DY95" i="1" s="1"/>
  <c r="CY95" i="1"/>
  <c r="CY135" i="1" s="1"/>
  <c r="CX95" i="1"/>
  <c r="CW95" i="1"/>
  <c r="DV95" i="1" s="1"/>
  <c r="CC95" i="1"/>
  <c r="CB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BI95" i="1"/>
  <c r="BH95" i="1"/>
  <c r="BE95" i="1"/>
  <c r="BB95" i="1"/>
  <c r="BA95" i="1"/>
  <c r="BA135" i="1" s="1"/>
  <c r="AZ95" i="1"/>
  <c r="AZ135" i="1" s="1"/>
  <c r="AY95" i="1"/>
  <c r="BX95" i="1" s="1"/>
  <c r="AL95" i="1"/>
  <c r="AL135" i="1" s="1"/>
  <c r="AF95" i="1"/>
  <c r="EB95" i="1" s="1"/>
  <c r="H95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CZ94" i="1"/>
  <c r="CF94" i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B94" i="1"/>
  <c r="AH94" i="1"/>
  <c r="J94" i="1"/>
  <c r="H94" i="1"/>
  <c r="EB93" i="1"/>
  <c r="EA93" i="1"/>
  <c r="DZ93" i="1"/>
  <c r="DY93" i="1"/>
  <c r="DX93" i="1"/>
  <c r="DW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DV93" i="1" s="1"/>
  <c r="CD93" i="1"/>
  <c r="CC93" i="1"/>
  <c r="CB93" i="1"/>
  <c r="CA93" i="1"/>
  <c r="BZ93" i="1"/>
  <c r="BY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BH93" i="1"/>
  <c r="AY93" i="1"/>
  <c r="H93" i="1"/>
  <c r="G93" i="1"/>
  <c r="ED93" i="1" s="1"/>
  <c r="ED92" i="1"/>
  <c r="EB92" i="1"/>
  <c r="EA92" i="1"/>
  <c r="DZ92" i="1"/>
  <c r="DY92" i="1"/>
  <c r="DX92" i="1"/>
  <c r="DW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E92" i="1" s="1"/>
  <c r="DD92" i="1" s="1"/>
  <c r="CD92" i="1"/>
  <c r="CC92" i="1"/>
  <c r="CB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B92" i="1"/>
  <c r="CA92" i="1" s="1"/>
  <c r="H92" i="1"/>
  <c r="G92" i="1"/>
  <c r="EB91" i="1"/>
  <c r="EA91" i="1"/>
  <c r="DZ91" i="1"/>
  <c r="DX91" i="1"/>
  <c r="DW91" i="1"/>
  <c r="DV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Z91" i="1"/>
  <c r="CF91" i="1" s="1"/>
  <c r="CD91" i="1"/>
  <c r="CC91" i="1"/>
  <c r="CB91" i="1"/>
  <c r="BZ91" i="1"/>
  <c r="BY91" i="1"/>
  <c r="BX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BB91" i="1"/>
  <c r="AH91" i="1" s="1"/>
  <c r="AC91" i="1"/>
  <c r="AC135" i="1" s="1"/>
  <c r="H91" i="1"/>
  <c r="EA90" i="1"/>
  <c r="DZ90" i="1"/>
  <c r="DY90" i="1"/>
  <c r="DX90" i="1"/>
  <c r="DW90" i="1"/>
  <c r="DV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CF90" i="1" s="1"/>
  <c r="CC90" i="1"/>
  <c r="CB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BB90" i="1"/>
  <c r="AF90" i="1"/>
  <c r="H90" i="1"/>
  <c r="EA89" i="1"/>
  <c r="DZ89" i="1"/>
  <c r="DY89" i="1"/>
  <c r="DX89" i="1"/>
  <c r="DW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W89" i="1"/>
  <c r="CC89" i="1"/>
  <c r="CB89" i="1"/>
  <c r="CA89" i="1"/>
  <c r="BZ89" i="1"/>
  <c r="BY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I89" i="1"/>
  <c r="AY89" i="1"/>
  <c r="BX89" i="1" s="1"/>
  <c r="AK89" i="1"/>
  <c r="AI89" i="1"/>
  <c r="AF89" i="1"/>
  <c r="G89" i="1" s="1"/>
  <c r="H89" i="1"/>
  <c r="EB88" i="1"/>
  <c r="EA88" i="1"/>
  <c r="DZ88" i="1"/>
  <c r="DX88" i="1"/>
  <c r="DW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Z88" i="1"/>
  <c r="DY88" i="1" s="1"/>
  <c r="CW88" i="1"/>
  <c r="CD88" i="1"/>
  <c r="CC88" i="1"/>
  <c r="CB88" i="1"/>
  <c r="BZ88" i="1"/>
  <c r="BY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AY88" i="1"/>
  <c r="BX88" i="1" s="1"/>
  <c r="H88" i="1"/>
  <c r="G88" i="1"/>
  <c r="ED88" i="1" s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DC87" i="1"/>
  <c r="CF87" i="1" s="1"/>
  <c r="CC87" i="1"/>
  <c r="CB87" i="1"/>
  <c r="CA87" i="1"/>
  <c r="BZ87" i="1"/>
  <c r="BY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E87" i="1"/>
  <c r="AI87" i="1"/>
  <c r="BH87" i="1" s="1"/>
  <c r="AF87" i="1"/>
  <c r="H87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DY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CA86" i="1" s="1"/>
  <c r="H86" i="1"/>
  <c r="I86" i="1" s="1"/>
  <c r="G86" i="1"/>
  <c r="ED86" i="1" s="1"/>
  <c r="EA85" i="1"/>
  <c r="DZ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CZ85" i="1"/>
  <c r="CF85" i="1" s="1"/>
  <c r="CC85" i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B85" i="1"/>
  <c r="AH85" i="1" s="1"/>
  <c r="AF85" i="1"/>
  <c r="G85" i="1" s="1"/>
  <c r="ED85" i="1" s="1"/>
  <c r="H85" i="1"/>
  <c r="I85" i="1" s="1"/>
  <c r="EB84" i="1"/>
  <c r="EA84" i="1"/>
  <c r="DZ84" i="1"/>
  <c r="DY84" i="1"/>
  <c r="DX84" i="1"/>
  <c r="DW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W84" i="1"/>
  <c r="DV84" i="1" s="1"/>
  <c r="CD84" i="1"/>
  <c r="CC84" i="1"/>
  <c r="CB84" i="1"/>
  <c r="CA84" i="1"/>
  <c r="BZ84" i="1"/>
  <c r="BY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AY84" i="1"/>
  <c r="BX84" i="1" s="1"/>
  <c r="H84" i="1"/>
  <c r="G84" i="1"/>
  <c r="ED84" i="1" s="1"/>
  <c r="EB83" i="1"/>
  <c r="EA83" i="1"/>
  <c r="DZ83" i="1"/>
  <c r="DY83" i="1"/>
  <c r="DX83" i="1"/>
  <c r="DW83" i="1"/>
  <c r="DV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CF83" i="1"/>
  <c r="CE83" i="1"/>
  <c r="DD83" i="1" s="1"/>
  <c r="CD83" i="1"/>
  <c r="CC83" i="1"/>
  <c r="CB83" i="1"/>
  <c r="CA83" i="1"/>
  <c r="BZ83" i="1"/>
  <c r="BY83" i="1"/>
  <c r="BW83" i="1"/>
  <c r="BV83" i="1"/>
  <c r="BU83" i="1"/>
  <c r="BT83" i="1"/>
  <c r="BS83" i="1"/>
  <c r="BR83" i="1"/>
  <c r="BQ83" i="1"/>
  <c r="BP83" i="1"/>
  <c r="BO83" i="1"/>
  <c r="BN83" i="1"/>
  <c r="BM83" i="1"/>
  <c r="BL83" i="1"/>
  <c r="BK83" i="1"/>
  <c r="BJ83" i="1"/>
  <c r="BI83" i="1"/>
  <c r="BH83" i="1"/>
  <c r="AY83" i="1"/>
  <c r="H83" i="1"/>
  <c r="G83" i="1"/>
  <c r="ED83" i="1" s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E82" i="1" s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AH82" i="1"/>
  <c r="AG82" i="1"/>
  <c r="BF82" i="1" s="1"/>
  <c r="H82" i="1"/>
  <c r="I82" i="1" s="1"/>
  <c r="G82" i="1"/>
  <c r="ED82" i="1" s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 s="1"/>
  <c r="CF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AH81" i="1"/>
  <c r="H81" i="1"/>
  <c r="G81" i="1"/>
  <c r="EB80" i="1"/>
  <c r="EA80" i="1"/>
  <c r="DZ80" i="1"/>
  <c r="DY80" i="1"/>
  <c r="DX80" i="1"/>
  <c r="DW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W80" i="1"/>
  <c r="DV80" i="1" s="1"/>
  <c r="CD80" i="1"/>
  <c r="CC80" i="1"/>
  <c r="CB80" i="1"/>
  <c r="CA80" i="1"/>
  <c r="BZ80" i="1"/>
  <c r="BY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AY80" i="1"/>
  <c r="BX80" i="1" s="1"/>
  <c r="H80" i="1"/>
  <c r="G80" i="1"/>
  <c r="ED80" i="1" s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 s="1"/>
  <c r="CW79" i="1"/>
  <c r="CF79" i="1" s="1"/>
  <c r="CD79" i="1"/>
  <c r="CC79" i="1"/>
  <c r="CB79" i="1"/>
  <c r="CA79" i="1"/>
  <c r="BZ79" i="1"/>
  <c r="BY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AY79" i="1"/>
  <c r="H79" i="1"/>
  <c r="G79" i="1"/>
  <c r="ED79" i="1" s="1"/>
  <c r="EB78" i="1"/>
  <c r="EA78" i="1"/>
  <c r="DZ78" i="1"/>
  <c r="DY78" i="1"/>
  <c r="DX78" i="1"/>
  <c r="DW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W78" i="1"/>
  <c r="DV78" i="1" s="1"/>
  <c r="CD78" i="1"/>
  <c r="CC78" i="1"/>
  <c r="CB78" i="1"/>
  <c r="CA78" i="1"/>
  <c r="BZ78" i="1"/>
  <c r="BY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 s="1"/>
  <c r="AY78" i="1"/>
  <c r="BX78" i="1" s="1"/>
  <c r="H78" i="1"/>
  <c r="G78" i="1"/>
  <c r="ED78" i="1" s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L77" i="1"/>
  <c r="CK77" i="1"/>
  <c r="CI77" i="1"/>
  <c r="CG77" i="1"/>
  <c r="BD77" i="1"/>
  <c r="BC77" i="1"/>
  <c r="BB77" i="1"/>
  <c r="AY77" i="1"/>
  <c r="AW77" i="1"/>
  <c r="AV77" i="1"/>
  <c r="AU77" i="1"/>
  <c r="AT77" i="1"/>
  <c r="AS77" i="1"/>
  <c r="AR77" i="1"/>
  <c r="AQ77" i="1"/>
  <c r="AP77" i="1"/>
  <c r="AO77" i="1"/>
  <c r="AN77" i="1"/>
  <c r="AM77" i="1"/>
  <c r="AK77" i="1"/>
  <c r="AI77" i="1"/>
  <c r="AE77" i="1"/>
  <c r="AD77" i="1"/>
  <c r="AC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F76" i="1"/>
  <c r="CH76" i="1"/>
  <c r="CF76" i="1" s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J76" i="1"/>
  <c r="AH76" i="1" s="1"/>
  <c r="K76" i="1"/>
  <c r="DG76" i="1" s="1"/>
  <c r="H76" i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K75" i="1"/>
  <c r="G75" i="1" s="1"/>
  <c r="H75" i="1"/>
  <c r="EB74" i="1"/>
  <c r="EA74" i="1"/>
  <c r="DZ74" i="1"/>
  <c r="DY74" i="1"/>
  <c r="DX74" i="1"/>
  <c r="DW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F74" i="1"/>
  <c r="CH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H74" i="1"/>
  <c r="AJ74" i="1"/>
  <c r="H74" i="1"/>
  <c r="G74" i="1"/>
  <c r="ED74" i="1" s="1"/>
  <c r="EB73" i="1"/>
  <c r="EA73" i="1"/>
  <c r="DZ73" i="1"/>
  <c r="DY73" i="1"/>
  <c r="DX73" i="1"/>
  <c r="DW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G73" i="1"/>
  <c r="DF73" i="1"/>
  <c r="CF73" i="1"/>
  <c r="CD73" i="1"/>
  <c r="CC73" i="1"/>
  <c r="CB73" i="1"/>
  <c r="CA73" i="1"/>
  <c r="BZ73" i="1"/>
  <c r="BY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H73" i="1"/>
  <c r="AJ73" i="1"/>
  <c r="BI73" i="1" s="1"/>
  <c r="H73" i="1"/>
  <c r="G73" i="1"/>
  <c r="ED73" i="1" s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F72" i="1"/>
  <c r="CH72" i="1"/>
  <c r="CF72" i="1" s="1"/>
  <c r="CD72" i="1"/>
  <c r="CC72" i="1"/>
  <c r="CB72" i="1"/>
  <c r="CA72" i="1"/>
  <c r="BZ72" i="1"/>
  <c r="BY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J72" i="1"/>
  <c r="K72" i="1"/>
  <c r="H72" i="1"/>
  <c r="G72" i="1"/>
  <c r="ED72" i="1" s="1"/>
  <c r="EA71" i="1"/>
  <c r="DZ71" i="1"/>
  <c r="DY71" i="1"/>
  <c r="DX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X71" i="1"/>
  <c r="DW71" i="1" s="1"/>
  <c r="CH71" i="1"/>
  <c r="CC71" i="1"/>
  <c r="CB71" i="1"/>
  <c r="CA71" i="1"/>
  <c r="BZ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AZ71" i="1"/>
  <c r="BY71" i="1" s="1"/>
  <c r="AJ71" i="1"/>
  <c r="AF71" i="1"/>
  <c r="K71" i="1"/>
  <c r="H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DG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Z70" i="1"/>
  <c r="AJ70" i="1"/>
  <c r="BI70" i="1" s="1"/>
  <c r="AA70" i="1"/>
  <c r="G70" i="1" s="1"/>
  <c r="ED70" i="1" s="1"/>
  <c r="H70" i="1"/>
  <c r="ED69" i="1"/>
  <c r="EB69" i="1"/>
  <c r="EA69" i="1"/>
  <c r="DZ69" i="1"/>
  <c r="DY69" i="1"/>
  <c r="DX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H69" i="1"/>
  <c r="DG69" i="1" s="1"/>
  <c r="CD69" i="1"/>
  <c r="CC69" i="1"/>
  <c r="CB69" i="1"/>
  <c r="CA69" i="1"/>
  <c r="BZ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AZ69" i="1"/>
  <c r="BY69" i="1" s="1"/>
  <c r="AJ69" i="1"/>
  <c r="H69" i="1"/>
  <c r="G69" i="1"/>
  <c r="EB68" i="1"/>
  <c r="EA68" i="1"/>
  <c r="DZ68" i="1"/>
  <c r="DY68" i="1"/>
  <c r="DX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CX68" i="1" s="1"/>
  <c r="CC68" i="1"/>
  <c r="CB68" i="1"/>
  <c r="CA68" i="1"/>
  <c r="BZ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BE68" i="1"/>
  <c r="CD68" i="1" s="1"/>
  <c r="AZ68" i="1"/>
  <c r="BY68" i="1" s="1"/>
  <c r="AJ68" i="1"/>
  <c r="K68" i="1"/>
  <c r="H68" i="1"/>
  <c r="EA67" i="1"/>
  <c r="DZ67" i="1"/>
  <c r="DY67" i="1"/>
  <c r="DX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CH67" i="1"/>
  <c r="DG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AZ67" i="1"/>
  <c r="AJ67" i="1"/>
  <c r="BI67" i="1" s="1"/>
  <c r="AF67" i="1"/>
  <c r="CD67" i="1" s="1"/>
  <c r="AA67" i="1"/>
  <c r="BY67" i="1" s="1"/>
  <c r="H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G66" i="1"/>
  <c r="DF66" i="1"/>
  <c r="CV66" i="1"/>
  <c r="CV139" i="1" s="1"/>
  <c r="CF66" i="1"/>
  <c r="CD66" i="1"/>
  <c r="CC66" i="1"/>
  <c r="CB66" i="1"/>
  <c r="CA66" i="1"/>
  <c r="BZ66" i="1"/>
  <c r="BY66" i="1"/>
  <c r="BX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I66" i="1"/>
  <c r="BH66" i="1"/>
  <c r="AX66" i="1"/>
  <c r="AX139" i="1" s="1"/>
  <c r="H66" i="1"/>
  <c r="G66" i="1"/>
  <c r="ED66" i="1" s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H65" i="1"/>
  <c r="BE65" i="1"/>
  <c r="AH65" i="1" s="1"/>
  <c r="AF65" i="1"/>
  <c r="K65" i="1"/>
  <c r="DG65" i="1" s="1"/>
  <c r="H65" i="1"/>
  <c r="ED64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/>
  <c r="CF64" i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 s="1"/>
  <c r="AH64" i="1"/>
  <c r="AG64" i="1"/>
  <c r="BF64" i="1" s="1"/>
  <c r="H64" i="1"/>
  <c r="I64" i="1" s="1"/>
  <c r="G64" i="1"/>
  <c r="EA63" i="1"/>
  <c r="DZ63" i="1"/>
  <c r="DY63" i="1"/>
  <c r="DV63" i="1"/>
  <c r="DU63" i="1"/>
  <c r="DT63" i="1"/>
  <c r="DS63" i="1"/>
  <c r="DR63" i="1"/>
  <c r="DQ63" i="1"/>
  <c r="DP63" i="1"/>
  <c r="DO63" i="1"/>
  <c r="DN63" i="1"/>
  <c r="DM63" i="1"/>
  <c r="DL63" i="1"/>
  <c r="DK63" i="1"/>
  <c r="DJ63" i="1"/>
  <c r="DI63" i="1"/>
  <c r="DH63" i="1"/>
  <c r="DG63" i="1"/>
  <c r="DF63" i="1"/>
  <c r="DC63" i="1"/>
  <c r="CY63" i="1"/>
  <c r="CY139" i="1" s="1"/>
  <c r="CX63" i="1"/>
  <c r="DW63" i="1" s="1"/>
  <c r="CH63" i="1"/>
  <c r="CC63" i="1"/>
  <c r="CB63" i="1"/>
  <c r="CA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H63" i="1"/>
  <c r="BE63" i="1"/>
  <c r="BA63" i="1"/>
  <c r="BA139" i="1" s="1"/>
  <c r="AZ63" i="1"/>
  <c r="BY63" i="1" s="1"/>
  <c r="AJ63" i="1"/>
  <c r="AF63" i="1"/>
  <c r="EB63" i="1" s="1"/>
  <c r="AB63" i="1"/>
  <c r="AB139" i="1" s="1"/>
  <c r="K63" i="1"/>
  <c r="G63" i="1" s="1"/>
  <c r="H63" i="1"/>
  <c r="EB62" i="1"/>
  <c r="EA62" i="1"/>
  <c r="DZ62" i="1"/>
  <c r="DY62" i="1"/>
  <c r="DX62" i="1"/>
  <c r="DV62" i="1"/>
  <c r="DU62" i="1"/>
  <c r="DT62" i="1"/>
  <c r="DS62" i="1"/>
  <c r="DR62" i="1"/>
  <c r="DQ62" i="1"/>
  <c r="DP62" i="1"/>
  <c r="DO62" i="1"/>
  <c r="DN62" i="1"/>
  <c r="DM62" i="1"/>
  <c r="DL62" i="1"/>
  <c r="DK62" i="1"/>
  <c r="DJ62" i="1"/>
  <c r="DI62" i="1"/>
  <c r="DH62" i="1"/>
  <c r="DF62" i="1"/>
  <c r="CX62" i="1"/>
  <c r="DW62" i="1" s="1"/>
  <c r="CH62" i="1"/>
  <c r="CD62" i="1"/>
  <c r="CC62" i="1"/>
  <c r="CB62" i="1"/>
  <c r="CA62" i="1"/>
  <c r="BZ62" i="1"/>
  <c r="BX62" i="1"/>
  <c r="BW62" i="1"/>
  <c r="BV62" i="1"/>
  <c r="BU62" i="1"/>
  <c r="BT62" i="1"/>
  <c r="BS62" i="1"/>
  <c r="BR62" i="1"/>
  <c r="BQ62" i="1"/>
  <c r="BP62" i="1"/>
  <c r="BO62" i="1"/>
  <c r="BN62" i="1"/>
  <c r="BM62" i="1"/>
  <c r="BL62" i="1"/>
  <c r="BK62" i="1"/>
  <c r="BJ62" i="1"/>
  <c r="BH62" i="1"/>
  <c r="AZ62" i="1"/>
  <c r="BY62" i="1" s="1"/>
  <c r="AJ62" i="1"/>
  <c r="H62" i="1"/>
  <c r="G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/>
  <c r="K61" i="1"/>
  <c r="G61" i="1" s="1"/>
  <c r="ED61" i="1" s="1"/>
  <c r="H61" i="1"/>
  <c r="I61" i="1" s="1"/>
  <c r="EB60" i="1"/>
  <c r="EA60" i="1"/>
  <c r="DZ60" i="1"/>
  <c r="DY60" i="1"/>
  <c r="DX60" i="1"/>
  <c r="DW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D60" i="1"/>
  <c r="CC60" i="1"/>
  <c r="CB60" i="1"/>
  <c r="CA60" i="1"/>
  <c r="BZ60" i="1"/>
  <c r="BY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J60" i="1"/>
  <c r="K60" i="1"/>
  <c r="G60" i="1" s="1"/>
  <c r="ED60" i="1" s="1"/>
  <c r="H60" i="1"/>
  <c r="EB59" i="1"/>
  <c r="EA59" i="1"/>
  <c r="DZ59" i="1"/>
  <c r="DY59" i="1"/>
  <c r="DX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X59" i="1"/>
  <c r="CH59" i="1"/>
  <c r="DG59" i="1" s="1"/>
  <c r="CD59" i="1"/>
  <c r="CC59" i="1"/>
  <c r="CB59" i="1"/>
  <c r="CA59" i="1"/>
  <c r="BZ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Z59" i="1"/>
  <c r="AJ59" i="1"/>
  <c r="AA59" i="1"/>
  <c r="K59" i="1"/>
  <c r="H59" i="1"/>
  <c r="G59" i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X58" i="1"/>
  <c r="CH58" i="1"/>
  <c r="CF58" i="1" s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AA58" i="1"/>
  <c r="K58" i="1"/>
  <c r="H58" i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G57" i="1"/>
  <c r="DF57" i="1"/>
  <c r="CF57" i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I57" i="1"/>
  <c r="BG57" i="1" s="1"/>
  <c r="BH57" i="1"/>
  <c r="AH57" i="1"/>
  <c r="H57" i="1"/>
  <c r="G57" i="1"/>
  <c r="CE57" i="1" s="1"/>
  <c r="DD57" i="1" s="1"/>
  <c r="EB56" i="1"/>
  <c r="EA56" i="1"/>
  <c r="DZ56" i="1"/>
  <c r="DY56" i="1"/>
  <c r="DX56" i="1"/>
  <c r="DW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H56" i="1"/>
  <c r="CF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J56" i="1"/>
  <c r="AH56" i="1"/>
  <c r="K56" i="1"/>
  <c r="H56" i="1"/>
  <c r="EB55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G55" i="1"/>
  <c r="DF55" i="1"/>
  <c r="CX55" i="1"/>
  <c r="CH55" i="1"/>
  <c r="CD55" i="1"/>
  <c r="CC55" i="1"/>
  <c r="CB55" i="1"/>
  <c r="CA55" i="1"/>
  <c r="BZ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Z55" i="1"/>
  <c r="AZ139" i="1" s="1"/>
  <c r="AJ55" i="1"/>
  <c r="K55" i="1"/>
  <c r="H55" i="1"/>
  <c r="G55" i="1"/>
  <c r="ED55" i="1" s="1"/>
  <c r="EA54" i="1"/>
  <c r="DZ54" i="1"/>
  <c r="DY54" i="1"/>
  <c r="DX54" i="1"/>
  <c r="DW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DG54" i="1" s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AF54" i="1"/>
  <c r="K54" i="1"/>
  <c r="H54" i="1"/>
  <c r="EB53" i="1"/>
  <c r="EA53" i="1"/>
  <c r="DZ53" i="1"/>
  <c r="DY53" i="1"/>
  <c r="DX53" i="1"/>
  <c r="DW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F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H53" i="1"/>
  <c r="K53" i="1"/>
  <c r="BI53" i="1" s="1"/>
  <c r="H53" i="1"/>
  <c r="EB52" i="1"/>
  <c r="EA52" i="1"/>
  <c r="DZ52" i="1"/>
  <c r="DY52" i="1"/>
  <c r="DX52" i="1"/>
  <c r="DW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H52" i="1"/>
  <c r="CD52" i="1"/>
  <c r="CC52" i="1"/>
  <c r="CB52" i="1"/>
  <c r="CA52" i="1"/>
  <c r="BZ52" i="1"/>
  <c r="BY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AJ52" i="1"/>
  <c r="BI52" i="1" s="1"/>
  <c r="K52" i="1"/>
  <c r="H52" i="1"/>
  <c r="G52" i="1"/>
  <c r="ED52" i="1" s="1"/>
  <c r="EA51" i="1"/>
  <c r="DZ51" i="1"/>
  <c r="DY51" i="1"/>
  <c r="DX51" i="1"/>
  <c r="DW51" i="1"/>
  <c r="DV51" i="1"/>
  <c r="DU51" i="1"/>
  <c r="DT51" i="1"/>
  <c r="DT139" i="1" s="1"/>
  <c r="DS51" i="1"/>
  <c r="DR51" i="1"/>
  <c r="DQ51" i="1"/>
  <c r="DP51" i="1"/>
  <c r="DP139" i="1" s="1"/>
  <c r="DO51" i="1"/>
  <c r="DN51" i="1"/>
  <c r="DM51" i="1"/>
  <c r="DL51" i="1"/>
  <c r="DL139" i="1" s="1"/>
  <c r="DK51" i="1"/>
  <c r="DJ51" i="1"/>
  <c r="DI51" i="1"/>
  <c r="DH51" i="1"/>
  <c r="DF51" i="1"/>
  <c r="DC51" i="1"/>
  <c r="CH51" i="1"/>
  <c r="CC51" i="1"/>
  <c r="CB51" i="1"/>
  <c r="CA51" i="1"/>
  <c r="BZ51" i="1"/>
  <c r="BY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H51" i="1"/>
  <c r="BE51" i="1"/>
  <c r="AJ51" i="1"/>
  <c r="BI51" i="1" s="1"/>
  <c r="AF51" i="1"/>
  <c r="H51" i="1"/>
  <c r="DB50" i="1"/>
  <c r="CZ50" i="1"/>
  <c r="CX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Z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A50" i="1"/>
  <c r="Z50" i="1"/>
  <c r="X50" i="1"/>
  <c r="W50" i="1"/>
  <c r="V50" i="1"/>
  <c r="U50" i="1"/>
  <c r="P50" i="1"/>
  <c r="O50" i="1"/>
  <c r="N50" i="1"/>
  <c r="M50" i="1"/>
  <c r="L50" i="1"/>
  <c r="J50" i="1"/>
  <c r="EA49" i="1"/>
  <c r="DZ49" i="1"/>
  <c r="DY49" i="1"/>
  <c r="DW49" i="1"/>
  <c r="DV49" i="1"/>
  <c r="DU49" i="1"/>
  <c r="DT49" i="1"/>
  <c r="DS49" i="1"/>
  <c r="DR49" i="1"/>
  <c r="DQ49" i="1"/>
  <c r="DP49" i="1"/>
  <c r="DO49" i="1"/>
  <c r="DN49" i="1"/>
  <c r="DL49" i="1"/>
  <c r="DK49" i="1"/>
  <c r="DJ49" i="1"/>
  <c r="DI49" i="1"/>
  <c r="DH49" i="1"/>
  <c r="DF49" i="1"/>
  <c r="DC49" i="1"/>
  <c r="CY49" i="1"/>
  <c r="DX49" i="1" s="1"/>
  <c r="CN49" i="1"/>
  <c r="CH49" i="1"/>
  <c r="DG49" i="1" s="1"/>
  <c r="CC49" i="1"/>
  <c r="CB49" i="1"/>
  <c r="CA49" i="1"/>
  <c r="BY49" i="1"/>
  <c r="BX49" i="1"/>
  <c r="BW49" i="1"/>
  <c r="BV49" i="1"/>
  <c r="BU49" i="1"/>
  <c r="BT49" i="1"/>
  <c r="BS49" i="1"/>
  <c r="BR49" i="1"/>
  <c r="BQ49" i="1"/>
  <c r="BP49" i="1"/>
  <c r="BN49" i="1"/>
  <c r="BM49" i="1"/>
  <c r="BL49" i="1"/>
  <c r="BK49" i="1"/>
  <c r="BJ49" i="1"/>
  <c r="BH49" i="1"/>
  <c r="BE49" i="1"/>
  <c r="BA49" i="1"/>
  <c r="BZ49" i="1" s="1"/>
  <c r="AP49" i="1"/>
  <c r="AJ49" i="1"/>
  <c r="BI49" i="1" s="1"/>
  <c r="AF49" i="1"/>
  <c r="Q49" i="1"/>
  <c r="H49" i="1"/>
  <c r="I49" i="1" s="1"/>
  <c r="G49" i="1"/>
  <c r="ED49" i="1" s="1"/>
  <c r="EA48" i="1"/>
  <c r="DZ48" i="1"/>
  <c r="DY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F48" i="1"/>
  <c r="DC48" i="1"/>
  <c r="CY48" i="1"/>
  <c r="DX48" i="1" s="1"/>
  <c r="CN48" i="1"/>
  <c r="CH48" i="1"/>
  <c r="CC48" i="1"/>
  <c r="CB48" i="1"/>
  <c r="CA48" i="1"/>
  <c r="BY48" i="1"/>
  <c r="BX48" i="1"/>
  <c r="BW48" i="1"/>
  <c r="BV48" i="1"/>
  <c r="BU48" i="1"/>
  <c r="BT48" i="1"/>
  <c r="BS48" i="1"/>
  <c r="BR48" i="1"/>
  <c r="BQ48" i="1"/>
  <c r="BP48" i="1"/>
  <c r="BN48" i="1"/>
  <c r="BM48" i="1"/>
  <c r="BL48" i="1"/>
  <c r="BK48" i="1"/>
  <c r="BJ48" i="1"/>
  <c r="BH48" i="1"/>
  <c r="BE48" i="1"/>
  <c r="BA48" i="1"/>
  <c r="BZ48" i="1" s="1"/>
  <c r="AP48" i="1"/>
  <c r="AJ48" i="1"/>
  <c r="AF48" i="1"/>
  <c r="CD48" i="1" s="1"/>
  <c r="Q48" i="1"/>
  <c r="K48" i="1"/>
  <c r="H48" i="1"/>
  <c r="G48" i="1"/>
  <c r="ED48" i="1" s="1"/>
  <c r="EA47" i="1"/>
  <c r="DZ47" i="1"/>
  <c r="DY47" i="1"/>
  <c r="DW47" i="1"/>
  <c r="DV47" i="1"/>
  <c r="DU47" i="1"/>
  <c r="DT47" i="1"/>
  <c r="DS47" i="1"/>
  <c r="DR47" i="1"/>
  <c r="DQ47" i="1"/>
  <c r="DP47" i="1"/>
  <c r="DO47" i="1"/>
  <c r="DN47" i="1"/>
  <c r="DL47" i="1"/>
  <c r="DK47" i="1"/>
  <c r="DJ47" i="1"/>
  <c r="DI47" i="1"/>
  <c r="DH47" i="1"/>
  <c r="DF47" i="1"/>
  <c r="DC47" i="1"/>
  <c r="EB47" i="1" s="1"/>
  <c r="CY47" i="1"/>
  <c r="CH47" i="1"/>
  <c r="CC47" i="1"/>
  <c r="CB47" i="1"/>
  <c r="CA47" i="1"/>
  <c r="BY47" i="1"/>
  <c r="BX47" i="1"/>
  <c r="BW47" i="1"/>
  <c r="BV47" i="1"/>
  <c r="BU47" i="1"/>
  <c r="BT47" i="1"/>
  <c r="BS47" i="1"/>
  <c r="BR47" i="1"/>
  <c r="BQ47" i="1"/>
  <c r="BP47" i="1"/>
  <c r="BN47" i="1"/>
  <c r="BM47" i="1"/>
  <c r="BL47" i="1"/>
  <c r="BK47" i="1"/>
  <c r="BJ47" i="1"/>
  <c r="BH47" i="1"/>
  <c r="BE47" i="1"/>
  <c r="CD47" i="1" s="1"/>
  <c r="BA47" i="1"/>
  <c r="AJ47" i="1"/>
  <c r="AB47" i="1"/>
  <c r="Q47" i="1"/>
  <c r="DM47" i="1" s="1"/>
  <c r="K47" i="1"/>
  <c r="H47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G46" i="1"/>
  <c r="DF46" i="1"/>
  <c r="DC46" i="1"/>
  <c r="EB46" i="1" s="1"/>
  <c r="CY46" i="1"/>
  <c r="DX46" i="1" s="1"/>
  <c r="CN46" i="1"/>
  <c r="CD46" i="1"/>
  <c r="CC46" i="1"/>
  <c r="CB46" i="1"/>
  <c r="CA46" i="1"/>
  <c r="BY46" i="1"/>
  <c r="BX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I46" i="1"/>
  <c r="BH46" i="1"/>
  <c r="BA46" i="1"/>
  <c r="BZ46" i="1" s="1"/>
  <c r="AX46" i="1"/>
  <c r="AP46" i="1"/>
  <c r="Y46" i="1"/>
  <c r="Q46" i="1"/>
  <c r="H46" i="1"/>
  <c r="EB45" i="1"/>
  <c r="EA45" i="1"/>
  <c r="DZ45" i="1"/>
  <c r="DY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Y45" i="1"/>
  <c r="CN45" i="1"/>
  <c r="CD45" i="1"/>
  <c r="CC45" i="1"/>
  <c r="CB45" i="1"/>
  <c r="CA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BA45" i="1"/>
  <c r="BZ45" i="1" s="1"/>
  <c r="AP45" i="1"/>
  <c r="Q45" i="1"/>
  <c r="BO45" i="1" s="1"/>
  <c r="H45" i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DE44" i="1"/>
  <c r="CN44" i="1"/>
  <c r="CF44" i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N44" i="1"/>
  <c r="BM44" i="1"/>
  <c r="BL44" i="1"/>
  <c r="BK44" i="1"/>
  <c r="BJ44" i="1"/>
  <c r="BI44" i="1"/>
  <c r="BH44" i="1"/>
  <c r="AP44" i="1"/>
  <c r="H44" i="1"/>
  <c r="G44" i="1"/>
  <c r="ED44" i="1" s="1"/>
  <c r="EB43" i="1"/>
  <c r="EA43" i="1"/>
  <c r="DY43" i="1"/>
  <c r="DW43" i="1"/>
  <c r="DV43" i="1"/>
  <c r="DU43" i="1"/>
  <c r="DT43" i="1"/>
  <c r="DS43" i="1"/>
  <c r="DR43" i="1"/>
  <c r="DQ43" i="1"/>
  <c r="DP43" i="1"/>
  <c r="DO43" i="1"/>
  <c r="DN43" i="1"/>
  <c r="DL43" i="1"/>
  <c r="DK43" i="1"/>
  <c r="DJ43" i="1"/>
  <c r="DI43" i="1"/>
  <c r="DH43" i="1"/>
  <c r="DG43" i="1"/>
  <c r="DF43" i="1"/>
  <c r="DA43" i="1"/>
  <c r="CY43" i="1"/>
  <c r="DX43" i="1" s="1"/>
  <c r="CN43" i="1"/>
  <c r="CD43" i="1"/>
  <c r="CC43" i="1"/>
  <c r="CA43" i="1"/>
  <c r="BY43" i="1"/>
  <c r="BX43" i="1"/>
  <c r="BW43" i="1"/>
  <c r="BV43" i="1"/>
  <c r="BU43" i="1"/>
  <c r="BT43" i="1"/>
  <c r="BS43" i="1"/>
  <c r="BR43" i="1"/>
  <c r="BQ43" i="1"/>
  <c r="BP43" i="1"/>
  <c r="BN43" i="1"/>
  <c r="BM43" i="1"/>
  <c r="BL43" i="1"/>
  <c r="BK43" i="1"/>
  <c r="BJ43" i="1"/>
  <c r="BI43" i="1"/>
  <c r="BH43" i="1"/>
  <c r="BC43" i="1"/>
  <c r="BC137" i="1" s="1"/>
  <c r="BA43" i="1"/>
  <c r="BZ43" i="1" s="1"/>
  <c r="AP43" i="1"/>
  <c r="AD43" i="1"/>
  <c r="AD137" i="1" s="1"/>
  <c r="Q43" i="1"/>
  <c r="H43" i="1"/>
  <c r="EB42" i="1"/>
  <c r="EA42" i="1"/>
  <c r="DZ42" i="1"/>
  <c r="DY42" i="1"/>
  <c r="DW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Y42" i="1"/>
  <c r="CN42" i="1" s="1"/>
  <c r="CF42" i="1" s="1"/>
  <c r="CD42" i="1"/>
  <c r="CC42" i="1"/>
  <c r="CB42" i="1"/>
  <c r="CA42" i="1"/>
  <c r="BY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BA42" i="1"/>
  <c r="AP42" i="1"/>
  <c r="AB42" i="1"/>
  <c r="DX42" i="1" s="1"/>
  <c r="Q42" i="1"/>
  <c r="H42" i="1"/>
  <c r="EB41" i="1"/>
  <c r="EA41" i="1"/>
  <c r="DZ41" i="1"/>
  <c r="DY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Y41" i="1"/>
  <c r="CN41" i="1"/>
  <c r="DM41" i="1" s="1"/>
  <c r="CD41" i="1"/>
  <c r="CC41" i="1"/>
  <c r="CB41" i="1"/>
  <c r="CA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A41" i="1"/>
  <c r="AP41" i="1"/>
  <c r="AB41" i="1"/>
  <c r="H41" i="1"/>
  <c r="EB40" i="1"/>
  <c r="EA40" i="1"/>
  <c r="DZ40" i="1"/>
  <c r="DY40" i="1"/>
  <c r="DW40" i="1"/>
  <c r="DV40" i="1"/>
  <c r="DU40" i="1"/>
  <c r="DT40" i="1"/>
  <c r="DS40" i="1"/>
  <c r="DR40" i="1"/>
  <c r="DQ40" i="1"/>
  <c r="DP40" i="1"/>
  <c r="DO40" i="1"/>
  <c r="DN40" i="1"/>
  <c r="DM40" i="1"/>
  <c r="DL40" i="1"/>
  <c r="DK40" i="1"/>
  <c r="DJ40" i="1"/>
  <c r="DI40" i="1"/>
  <c r="DH40" i="1"/>
  <c r="DG40" i="1"/>
  <c r="DF40" i="1"/>
  <c r="CY40" i="1"/>
  <c r="CD40" i="1"/>
  <c r="CC40" i="1"/>
  <c r="CB40" i="1"/>
  <c r="CA40" i="1"/>
  <c r="BY40" i="1"/>
  <c r="BX40" i="1"/>
  <c r="BW40" i="1"/>
  <c r="BV40" i="1"/>
  <c r="BU40" i="1"/>
  <c r="BT40" i="1"/>
  <c r="BS40" i="1"/>
  <c r="BR40" i="1"/>
  <c r="BQ40" i="1"/>
  <c r="BP40" i="1"/>
  <c r="BO40" i="1"/>
  <c r="BN40" i="1"/>
  <c r="BM40" i="1"/>
  <c r="BL40" i="1"/>
  <c r="BK40" i="1"/>
  <c r="BJ40" i="1"/>
  <c r="BI40" i="1"/>
  <c r="BH40" i="1"/>
  <c r="BA40" i="1"/>
  <c r="H40" i="1"/>
  <c r="G40" i="1"/>
  <c r="ED40" i="1" s="1"/>
  <c r="EB39" i="1"/>
  <c r="EA39" i="1"/>
  <c r="DZ39" i="1"/>
  <c r="DY39" i="1"/>
  <c r="DW39" i="1"/>
  <c r="DV39" i="1"/>
  <c r="DU39" i="1"/>
  <c r="DT39" i="1"/>
  <c r="DS39" i="1"/>
  <c r="DR39" i="1"/>
  <c r="DQ39" i="1"/>
  <c r="DP39" i="1"/>
  <c r="DO39" i="1"/>
  <c r="DN39" i="1"/>
  <c r="DM39" i="1"/>
  <c r="DL39" i="1"/>
  <c r="DK39" i="1"/>
  <c r="DJ39" i="1"/>
  <c r="DI39" i="1"/>
  <c r="DH39" i="1"/>
  <c r="DG39" i="1"/>
  <c r="DF39" i="1"/>
  <c r="CY39" i="1"/>
  <c r="CF39" i="1" s="1"/>
  <c r="CD39" i="1"/>
  <c r="CC39" i="1"/>
  <c r="CB39" i="1"/>
  <c r="CA39" i="1"/>
  <c r="BY39" i="1"/>
  <c r="BX39" i="1"/>
  <c r="BW39" i="1"/>
  <c r="BV39" i="1"/>
  <c r="BU39" i="1"/>
  <c r="BT39" i="1"/>
  <c r="BS39" i="1"/>
  <c r="BR39" i="1"/>
  <c r="BQ39" i="1"/>
  <c r="BP39" i="1"/>
  <c r="BO39" i="1"/>
  <c r="BN39" i="1"/>
  <c r="BM39" i="1"/>
  <c r="BL39" i="1"/>
  <c r="BK39" i="1"/>
  <c r="BJ39" i="1"/>
  <c r="BI39" i="1"/>
  <c r="BH39" i="1"/>
  <c r="BA39" i="1"/>
  <c r="AH39" i="1" s="1"/>
  <c r="AB39" i="1"/>
  <c r="G39" i="1" s="1"/>
  <c r="ED39" i="1" s="1"/>
  <c r="H39" i="1"/>
  <c r="I39" i="1" s="1"/>
  <c r="EA38" i="1"/>
  <c r="DZ38" i="1"/>
  <c r="DY38" i="1"/>
  <c r="DW38" i="1"/>
  <c r="DV38" i="1"/>
  <c r="DU38" i="1"/>
  <c r="DT38" i="1"/>
  <c r="DS38" i="1"/>
  <c r="DR38" i="1"/>
  <c r="DQ38" i="1"/>
  <c r="DL38" i="1"/>
  <c r="DK38" i="1"/>
  <c r="DJ38" i="1"/>
  <c r="DI38" i="1"/>
  <c r="DH38" i="1"/>
  <c r="DG38" i="1"/>
  <c r="DF38" i="1"/>
  <c r="DC38" i="1"/>
  <c r="CY38" i="1"/>
  <c r="CQ38" i="1"/>
  <c r="CQ137" i="1" s="1"/>
  <c r="CP38" i="1"/>
  <c r="CO38" i="1"/>
  <c r="CN38" i="1"/>
  <c r="CC38" i="1"/>
  <c r="CB38" i="1"/>
  <c r="CA38" i="1"/>
  <c r="BY38" i="1"/>
  <c r="BX38" i="1"/>
  <c r="BW38" i="1"/>
  <c r="BV38" i="1"/>
  <c r="BU38" i="1"/>
  <c r="BT38" i="1"/>
  <c r="BS38" i="1"/>
  <c r="BN38" i="1"/>
  <c r="BM38" i="1"/>
  <c r="BL38" i="1"/>
  <c r="BK38" i="1"/>
  <c r="BJ38" i="1"/>
  <c r="BI38" i="1"/>
  <c r="BH38" i="1"/>
  <c r="BE38" i="1"/>
  <c r="BA38" i="1"/>
  <c r="BZ38" i="1" s="1"/>
  <c r="AS38" i="1"/>
  <c r="BR38" i="1" s="1"/>
  <c r="AR38" i="1"/>
  <c r="AQ38" i="1"/>
  <c r="AP38" i="1"/>
  <c r="AF38" i="1"/>
  <c r="AB38" i="1"/>
  <c r="S38" i="1"/>
  <c r="DO38" i="1" s="1"/>
  <c r="R38" i="1"/>
  <c r="Q38" i="1"/>
  <c r="H38" i="1"/>
  <c r="EB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Y37" i="1"/>
  <c r="CN37" i="1"/>
  <c r="CC37" i="1"/>
  <c r="CB37" i="1"/>
  <c r="CA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CD37" i="1" s="1"/>
  <c r="BA37" i="1"/>
  <c r="BZ37" i="1" s="1"/>
  <c r="AP37" i="1"/>
  <c r="AF37" i="1"/>
  <c r="Q37" i="1"/>
  <c r="H37" i="1"/>
  <c r="EB36" i="1"/>
  <c r="EA36" i="1"/>
  <c r="DZ36" i="1"/>
  <c r="DY36" i="1"/>
  <c r="DX36" i="1"/>
  <c r="DW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AP36" i="1"/>
  <c r="Q36" i="1"/>
  <c r="G36" i="1" s="1"/>
  <c r="ED36" i="1" s="1"/>
  <c r="H36" i="1"/>
  <c r="EA35" i="1"/>
  <c r="DZ35" i="1"/>
  <c r="DY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CN35" i="1"/>
  <c r="CC35" i="1"/>
  <c r="CB35" i="1"/>
  <c r="CA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AP35" i="1"/>
  <c r="AF35" i="1"/>
  <c r="AB35" i="1"/>
  <c r="BZ35" i="1" s="1"/>
  <c r="Q35" i="1"/>
  <c r="H35" i="1"/>
  <c r="EA34" i="1"/>
  <c r="DZ34" i="1"/>
  <c r="DY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Y34" i="1"/>
  <c r="CN34" i="1"/>
  <c r="CC34" i="1"/>
  <c r="CB34" i="1"/>
  <c r="CA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BA34" i="1"/>
  <c r="AP34" i="1"/>
  <c r="AF34" i="1"/>
  <c r="AB34" i="1"/>
  <c r="DX34" i="1" s="1"/>
  <c r="Q34" i="1"/>
  <c r="G34" i="1" s="1"/>
  <c r="ED34" i="1" s="1"/>
  <c r="H34" i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EB33" i="1" s="1"/>
  <c r="CN33" i="1"/>
  <c r="CC33" i="1"/>
  <c r="CB33" i="1"/>
  <c r="CA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BA33" i="1"/>
  <c r="BZ33" i="1" s="1"/>
  <c r="AP33" i="1"/>
  <c r="BO33" i="1" s="1"/>
  <c r="AF33" i="1"/>
  <c r="H33" i="1"/>
  <c r="G33" i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H32" i="1"/>
  <c r="AB32" i="1"/>
  <c r="BZ32" i="1" s="1"/>
  <c r="Q32" i="1"/>
  <c r="DM32" i="1" s="1"/>
  <c r="H32" i="1"/>
  <c r="EB31" i="1"/>
  <c r="EA31" i="1"/>
  <c r="DZ31" i="1"/>
  <c r="DY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F31" i="1"/>
  <c r="CD31" i="1"/>
  <c r="CC31" i="1"/>
  <c r="CB31" i="1"/>
  <c r="CA31" i="1"/>
  <c r="BY31" i="1"/>
  <c r="BX31" i="1"/>
  <c r="BW31" i="1"/>
  <c r="BV31" i="1"/>
  <c r="BU31" i="1"/>
  <c r="BT31" i="1"/>
  <c r="BS31" i="1"/>
  <c r="BR31" i="1"/>
  <c r="BQ31" i="1"/>
  <c r="BP31" i="1"/>
  <c r="BO31" i="1"/>
  <c r="BN31" i="1"/>
  <c r="BM31" i="1"/>
  <c r="BL31" i="1"/>
  <c r="BK31" i="1"/>
  <c r="BJ31" i="1"/>
  <c r="BI31" i="1"/>
  <c r="BH31" i="1"/>
  <c r="AH31" i="1"/>
  <c r="AB31" i="1"/>
  <c r="Q31" i="1"/>
  <c r="DM31" i="1" s="1"/>
  <c r="H31" i="1"/>
  <c r="G31" i="1"/>
  <c r="EB30" i="1"/>
  <c r="EA30" i="1"/>
  <c r="DZ30" i="1"/>
  <c r="DY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Y30" i="1"/>
  <c r="DX30" i="1" s="1"/>
  <c r="CN30" i="1"/>
  <c r="CF30" i="1" s="1"/>
  <c r="CD30" i="1"/>
  <c r="CC30" i="1"/>
  <c r="CB30" i="1"/>
  <c r="CA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BA30" i="1"/>
  <c r="BZ30" i="1" s="1"/>
  <c r="AP30" i="1"/>
  <c r="Q30" i="1"/>
  <c r="G30" i="1" s="1"/>
  <c r="ED30" i="1" s="1"/>
  <c r="H30" i="1"/>
  <c r="EB29" i="1"/>
  <c r="EA29" i="1"/>
  <c r="DZ29" i="1"/>
  <c r="DY29" i="1"/>
  <c r="DW29" i="1"/>
  <c r="DV29" i="1"/>
  <c r="DU29" i="1"/>
  <c r="DT29" i="1"/>
  <c r="DS29" i="1"/>
  <c r="DR29" i="1"/>
  <c r="DQ29" i="1"/>
  <c r="DP29" i="1"/>
  <c r="DO29" i="1"/>
  <c r="DN29" i="1"/>
  <c r="DL29" i="1"/>
  <c r="DK29" i="1"/>
  <c r="DJ29" i="1"/>
  <c r="DI29" i="1"/>
  <c r="DH29" i="1"/>
  <c r="DG29" i="1"/>
  <c r="DF29" i="1"/>
  <c r="CY29" i="1"/>
  <c r="DX29" i="1" s="1"/>
  <c r="CN29" i="1"/>
  <c r="CF29" i="1" s="1"/>
  <c r="CD29" i="1"/>
  <c r="CC29" i="1"/>
  <c r="CB29" i="1"/>
  <c r="CA29" i="1"/>
  <c r="BY29" i="1"/>
  <c r="BX29" i="1"/>
  <c r="BW29" i="1"/>
  <c r="BV29" i="1"/>
  <c r="BU29" i="1"/>
  <c r="BT29" i="1"/>
  <c r="BS29" i="1"/>
  <c r="BR29" i="1"/>
  <c r="BQ29" i="1"/>
  <c r="BP29" i="1"/>
  <c r="BN29" i="1"/>
  <c r="BM29" i="1"/>
  <c r="BL29" i="1"/>
  <c r="BK29" i="1"/>
  <c r="BJ29" i="1"/>
  <c r="BI29" i="1"/>
  <c r="BH29" i="1"/>
  <c r="BA29" i="1"/>
  <c r="BZ29" i="1" s="1"/>
  <c r="AP29" i="1"/>
  <c r="Q29" i="1"/>
  <c r="G29" i="1" s="1"/>
  <c r="ED29" i="1" s="1"/>
  <c r="H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DM28" i="1" s="1"/>
  <c r="H28" i="1"/>
  <c r="EA27" i="1"/>
  <c r="DZ27" i="1"/>
  <c r="DY27" i="1"/>
  <c r="DW27" i="1"/>
  <c r="DV27" i="1"/>
  <c r="DU27" i="1"/>
  <c r="DT27" i="1"/>
  <c r="DS27" i="1"/>
  <c r="DR27" i="1"/>
  <c r="DQ27" i="1"/>
  <c r="DL27" i="1"/>
  <c r="DK27" i="1"/>
  <c r="DJ27" i="1"/>
  <c r="DI27" i="1"/>
  <c r="DH27" i="1"/>
  <c r="DG27" i="1"/>
  <c r="DF27" i="1"/>
  <c r="DC27" i="1"/>
  <c r="CY27" i="1"/>
  <c r="DX27" i="1" s="1"/>
  <c r="CP27" i="1"/>
  <c r="CC27" i="1"/>
  <c r="CB27" i="1"/>
  <c r="CA27" i="1"/>
  <c r="BY27" i="1"/>
  <c r="BX27" i="1"/>
  <c r="BW27" i="1"/>
  <c r="BV27" i="1"/>
  <c r="BU27" i="1"/>
  <c r="BT27" i="1"/>
  <c r="BS27" i="1"/>
  <c r="BN27" i="1"/>
  <c r="BM27" i="1"/>
  <c r="BL27" i="1"/>
  <c r="BK27" i="1"/>
  <c r="BJ27" i="1"/>
  <c r="BI27" i="1"/>
  <c r="BH27" i="1"/>
  <c r="BE27" i="1"/>
  <c r="BA27" i="1"/>
  <c r="AS27" i="1"/>
  <c r="AR27" i="1"/>
  <c r="AR50" i="1" s="1"/>
  <c r="AQ27" i="1"/>
  <c r="AP27" i="1"/>
  <c r="AF27" i="1"/>
  <c r="T27" i="1"/>
  <c r="T137" i="1" s="1"/>
  <c r="S27" i="1"/>
  <c r="S137" i="1" s="1"/>
  <c r="R27" i="1"/>
  <c r="Q27" i="1"/>
  <c r="H27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L26" i="1"/>
  <c r="DK26" i="1"/>
  <c r="DJ26" i="1"/>
  <c r="DI26" i="1"/>
  <c r="DH26" i="1"/>
  <c r="DG26" i="1"/>
  <c r="DF26" i="1"/>
  <c r="CF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N26" i="1"/>
  <c r="BM26" i="1"/>
  <c r="BL26" i="1"/>
  <c r="BK26" i="1"/>
  <c r="BJ26" i="1"/>
  <c r="BI26" i="1"/>
  <c r="BH26" i="1"/>
  <c r="AP26" i="1"/>
  <c r="AF26" i="1"/>
  <c r="CD26" i="1" s="1"/>
  <c r="Q26" i="1"/>
  <c r="G26" i="1" s="1"/>
  <c r="ED26" i="1" s="1"/>
  <c r="H26" i="1"/>
  <c r="EA25" i="1"/>
  <c r="DZ25" i="1"/>
  <c r="DY25" i="1"/>
  <c r="DX25" i="1"/>
  <c r="DW25" i="1"/>
  <c r="DV25" i="1"/>
  <c r="DU25" i="1"/>
  <c r="DT25" i="1"/>
  <c r="DS25" i="1"/>
  <c r="DR25" i="1"/>
  <c r="DQ25" i="1"/>
  <c r="DP25" i="1"/>
  <c r="DO25" i="1"/>
  <c r="DN25" i="1"/>
  <c r="DL25" i="1"/>
  <c r="DK25" i="1"/>
  <c r="DJ25" i="1"/>
  <c r="DI25" i="1"/>
  <c r="DH25" i="1"/>
  <c r="DG25" i="1"/>
  <c r="DF25" i="1"/>
  <c r="CN25" i="1"/>
  <c r="CF25" i="1" s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N25" i="1"/>
  <c r="BM25" i="1"/>
  <c r="BL25" i="1"/>
  <c r="BK25" i="1"/>
  <c r="BJ25" i="1"/>
  <c r="BI25" i="1"/>
  <c r="BH25" i="1"/>
  <c r="AP25" i="1"/>
  <c r="AF25" i="1"/>
  <c r="Q25" i="1"/>
  <c r="G25" i="1" s="1"/>
  <c r="H25" i="1"/>
  <c r="DA24" i="1"/>
  <c r="CZ24" i="1"/>
  <c r="CY24" i="1"/>
  <c r="CW24" i="1"/>
  <c r="CV24" i="1"/>
  <c r="CU24" i="1"/>
  <c r="CU131" i="1" s="1"/>
  <c r="CT24" i="1"/>
  <c r="CT131" i="1" s="1"/>
  <c r="CS24" i="1"/>
  <c r="CQ24" i="1"/>
  <c r="CP24" i="1"/>
  <c r="CO24" i="1"/>
  <c r="CN24" i="1"/>
  <c r="CM24" i="1"/>
  <c r="CL24" i="1"/>
  <c r="CK24" i="1"/>
  <c r="CJ24" i="1"/>
  <c r="CI24" i="1"/>
  <c r="CI131" i="1" s="1"/>
  <c r="CI141" i="1" s="1"/>
  <c r="CG24" i="1"/>
  <c r="BC24" i="1"/>
  <c r="BB24" i="1"/>
  <c r="BA24" i="1"/>
  <c r="AY24" i="1"/>
  <c r="AX24" i="1"/>
  <c r="AW24" i="1"/>
  <c r="AV24" i="1"/>
  <c r="AU24" i="1"/>
  <c r="AS24" i="1"/>
  <c r="AR24" i="1"/>
  <c r="AQ24" i="1"/>
  <c r="AP24" i="1"/>
  <c r="AO24" i="1"/>
  <c r="AN24" i="1"/>
  <c r="AM24" i="1"/>
  <c r="AK24" i="1"/>
  <c r="AI24" i="1"/>
  <c r="AE24" i="1"/>
  <c r="AD24" i="1"/>
  <c r="AC24" i="1"/>
  <c r="AB24" i="1"/>
  <c r="AA24" i="1"/>
  <c r="Z24" i="1"/>
  <c r="Z131" i="1" s="1"/>
  <c r="Y24" i="1"/>
  <c r="X24" i="1"/>
  <c r="W24" i="1"/>
  <c r="V24" i="1"/>
  <c r="V131" i="1" s="1"/>
  <c r="V141" i="1" s="1"/>
  <c r="T24" i="1"/>
  <c r="S24" i="1"/>
  <c r="R24" i="1"/>
  <c r="Q24" i="1"/>
  <c r="P24" i="1"/>
  <c r="O24" i="1"/>
  <c r="N24" i="1"/>
  <c r="M24" i="1"/>
  <c r="M131" i="1" s="1"/>
  <c r="L24" i="1"/>
  <c r="L131" i="1" s="1"/>
  <c r="L141" i="1" s="1"/>
  <c r="J24" i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H23" i="1"/>
  <c r="DG23" i="1" s="1"/>
  <c r="DE23" i="1" s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T23" i="1"/>
  <c r="AJ23" i="1"/>
  <c r="U23" i="1"/>
  <c r="DQ23" i="1" s="1"/>
  <c r="K23" i="1"/>
  <c r="H23" i="1"/>
  <c r="G23" i="1"/>
  <c r="ED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CH22" i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AJ22" i="1"/>
  <c r="AF22" i="1"/>
  <c r="K22" i="1"/>
  <c r="H22" i="1"/>
  <c r="EB21" i="1"/>
  <c r="EA21" i="1"/>
  <c r="DZ21" i="1"/>
  <c r="DY21" i="1"/>
  <c r="DX21" i="1"/>
  <c r="DW21" i="1"/>
  <c r="DV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DE21" i="1" s="1"/>
  <c r="CF21" i="1"/>
  <c r="CD21" i="1"/>
  <c r="CC21" i="1"/>
  <c r="CB21" i="1"/>
  <c r="CA21" i="1"/>
  <c r="BZ21" i="1"/>
  <c r="BY21" i="1"/>
  <c r="BX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H21" i="1"/>
  <c r="AJ21" i="1"/>
  <c r="AH21" i="1" s="1"/>
  <c r="K21" i="1"/>
  <c r="H21" i="1"/>
  <c r="G21" i="1"/>
  <c r="ED21" i="1" s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CF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H20" i="1"/>
  <c r="AJ20" i="1"/>
  <c r="BI20" i="1" s="1"/>
  <c r="AF20" i="1"/>
  <c r="G20" i="1" s="1"/>
  <c r="H20" i="1"/>
  <c r="EB19" i="1"/>
  <c r="EA19" i="1"/>
  <c r="DZ19" i="1"/>
  <c r="DY19" i="1"/>
  <c r="DX19" i="1"/>
  <c r="DW19" i="1"/>
  <c r="DV19" i="1"/>
  <c r="DU19" i="1"/>
  <c r="DT19" i="1"/>
  <c r="DS19" i="1"/>
  <c r="DR19" i="1"/>
  <c r="DP19" i="1"/>
  <c r="DO19" i="1"/>
  <c r="DN19" i="1"/>
  <c r="DM19" i="1"/>
  <c r="DL19" i="1"/>
  <c r="DK19" i="1"/>
  <c r="DJ19" i="1"/>
  <c r="DI19" i="1"/>
  <c r="DH19" i="1"/>
  <c r="DG19" i="1"/>
  <c r="DF19" i="1"/>
  <c r="CR19" i="1"/>
  <c r="CF19" i="1" s="1"/>
  <c r="CD19" i="1"/>
  <c r="CC19" i="1"/>
  <c r="CB19" i="1"/>
  <c r="CA19" i="1"/>
  <c r="BZ19" i="1"/>
  <c r="BY19" i="1"/>
  <c r="BX19" i="1"/>
  <c r="BW19" i="1"/>
  <c r="BV19" i="1"/>
  <c r="BU19" i="1"/>
  <c r="BT19" i="1"/>
  <c r="BR19" i="1"/>
  <c r="BQ19" i="1"/>
  <c r="BP19" i="1"/>
  <c r="BO19" i="1"/>
  <c r="BN19" i="1"/>
  <c r="BM19" i="1"/>
  <c r="BL19" i="1"/>
  <c r="BK19" i="1"/>
  <c r="BJ19" i="1"/>
  <c r="BI19" i="1"/>
  <c r="BH19" i="1"/>
  <c r="AT19" i="1"/>
  <c r="AH19" i="1" s="1"/>
  <c r="U19" i="1"/>
  <c r="DQ19" i="1" s="1"/>
  <c r="H19" i="1"/>
  <c r="G19" i="1"/>
  <c r="ED19" i="1" s="1"/>
  <c r="EA18" i="1"/>
  <c r="DZ18" i="1"/>
  <c r="DY18" i="1"/>
  <c r="DX18" i="1"/>
  <c r="DW18" i="1"/>
  <c r="DV18" i="1"/>
  <c r="DU18" i="1"/>
  <c r="DT18" i="1"/>
  <c r="DS18" i="1"/>
  <c r="DR18" i="1"/>
  <c r="DP18" i="1"/>
  <c r="DO18" i="1"/>
  <c r="DN18" i="1"/>
  <c r="DM18" i="1"/>
  <c r="DL18" i="1"/>
  <c r="DK18" i="1"/>
  <c r="DJ18" i="1"/>
  <c r="DI18" i="1"/>
  <c r="DH18" i="1"/>
  <c r="DG18" i="1"/>
  <c r="DF18" i="1"/>
  <c r="CF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T18" i="1"/>
  <c r="AH18" i="1" s="1"/>
  <c r="AF18" i="1"/>
  <c r="CD18" i="1" s="1"/>
  <c r="U18" i="1"/>
  <c r="BS18" i="1" s="1"/>
  <c r="H18" i="1"/>
  <c r="EA17" i="1"/>
  <c r="DZ17" i="1"/>
  <c r="DY17" i="1"/>
  <c r="DX17" i="1"/>
  <c r="DW17" i="1"/>
  <c r="DV17" i="1"/>
  <c r="DU17" i="1"/>
  <c r="DT17" i="1"/>
  <c r="DS17" i="1"/>
  <c r="DR17" i="1"/>
  <c r="DP17" i="1"/>
  <c r="DO17" i="1"/>
  <c r="DN17" i="1"/>
  <c r="DM17" i="1"/>
  <c r="DL17" i="1"/>
  <c r="DK17" i="1"/>
  <c r="DJ17" i="1"/>
  <c r="DI17" i="1"/>
  <c r="DH17" i="1"/>
  <c r="DG17" i="1"/>
  <c r="DF17" i="1"/>
  <c r="DC17" i="1"/>
  <c r="CR17" i="1"/>
  <c r="CC17" i="1"/>
  <c r="CB17" i="1"/>
  <c r="CA17" i="1"/>
  <c r="BZ17" i="1"/>
  <c r="BY17" i="1"/>
  <c r="BX17" i="1"/>
  <c r="BW17" i="1"/>
  <c r="BV17" i="1"/>
  <c r="BU17" i="1"/>
  <c r="BT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AT17" i="1"/>
  <c r="AT138" i="1" s="1"/>
  <c r="AF17" i="1"/>
  <c r="U17" i="1"/>
  <c r="H17" i="1"/>
  <c r="G17" i="1"/>
  <c r="ED17" i="1" s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H16" i="1"/>
  <c r="DG16" i="1" s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J16" i="1"/>
  <c r="BI16" i="1" s="1"/>
  <c r="H16" i="1"/>
  <c r="I16" i="1" s="1"/>
  <c r="G16" i="1"/>
  <c r="ED16" i="1" s="1"/>
  <c r="EA15" i="1"/>
  <c r="DZ15" i="1"/>
  <c r="DY15" i="1"/>
  <c r="DX15" i="1"/>
  <c r="DW15" i="1"/>
  <c r="DV15" i="1"/>
  <c r="DU15" i="1"/>
  <c r="DT15" i="1"/>
  <c r="DS15" i="1"/>
  <c r="DR15" i="1"/>
  <c r="DP15" i="1"/>
  <c r="DO15" i="1"/>
  <c r="DN15" i="1"/>
  <c r="DM15" i="1"/>
  <c r="DL15" i="1"/>
  <c r="DK15" i="1"/>
  <c r="DJ15" i="1"/>
  <c r="DI15" i="1"/>
  <c r="DH15" i="1"/>
  <c r="DF15" i="1"/>
  <c r="DC15" i="1"/>
  <c r="CR15" i="1"/>
  <c r="DQ15" i="1" s="1"/>
  <c r="CH15" i="1"/>
  <c r="CC15" i="1"/>
  <c r="CB15" i="1"/>
  <c r="CA15" i="1"/>
  <c r="BZ15" i="1"/>
  <c r="BY15" i="1"/>
  <c r="BX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CD15" i="1" s="1"/>
  <c r="AT15" i="1"/>
  <c r="BS15" i="1" s="1"/>
  <c r="AJ15" i="1"/>
  <c r="BI15" i="1" s="1"/>
  <c r="AF15" i="1"/>
  <c r="H15" i="1"/>
  <c r="G15" i="1"/>
  <c r="ED15" i="1" s="1"/>
  <c r="EB14" i="1"/>
  <c r="EA14" i="1"/>
  <c r="DZ14" i="1"/>
  <c r="DY14" i="1"/>
  <c r="DX14" i="1"/>
  <c r="DW14" i="1"/>
  <c r="DV14" i="1"/>
  <c r="DU14" i="1"/>
  <c r="DT14" i="1"/>
  <c r="DS14" i="1"/>
  <c r="DR14" i="1"/>
  <c r="DP14" i="1"/>
  <c r="DO14" i="1"/>
  <c r="DN14" i="1"/>
  <c r="DM14" i="1"/>
  <c r="DL14" i="1"/>
  <c r="DK14" i="1"/>
  <c r="DJ14" i="1"/>
  <c r="DI14" i="1"/>
  <c r="DH14" i="1"/>
  <c r="DG14" i="1"/>
  <c r="DF14" i="1"/>
  <c r="CF14" i="1"/>
  <c r="CD14" i="1"/>
  <c r="CC14" i="1"/>
  <c r="CB14" i="1"/>
  <c r="CA14" i="1"/>
  <c r="BZ14" i="1"/>
  <c r="BY14" i="1"/>
  <c r="BX14" i="1"/>
  <c r="BW14" i="1"/>
  <c r="BV14" i="1"/>
  <c r="BU14" i="1"/>
  <c r="BT14" i="1"/>
  <c r="BR14" i="1"/>
  <c r="BQ14" i="1"/>
  <c r="BP14" i="1"/>
  <c r="BO14" i="1"/>
  <c r="BN14" i="1"/>
  <c r="BM14" i="1"/>
  <c r="BL14" i="1"/>
  <c r="BK14" i="1"/>
  <c r="BJ14" i="1"/>
  <c r="BI14" i="1"/>
  <c r="BH14" i="1"/>
  <c r="AH14" i="1"/>
  <c r="U14" i="1"/>
  <c r="G14" i="1" s="1"/>
  <c r="H14" i="1"/>
  <c r="EA13" i="1"/>
  <c r="DZ13" i="1"/>
  <c r="DY13" i="1"/>
  <c r="DX13" i="1"/>
  <c r="DW13" i="1"/>
  <c r="DV13" i="1"/>
  <c r="DU13" i="1"/>
  <c r="DT13" i="1"/>
  <c r="DS13" i="1"/>
  <c r="DR13" i="1"/>
  <c r="DP13" i="1"/>
  <c r="DO13" i="1"/>
  <c r="DN13" i="1"/>
  <c r="DM13" i="1"/>
  <c r="DL13" i="1"/>
  <c r="DK13" i="1"/>
  <c r="DJ13" i="1"/>
  <c r="DI13" i="1"/>
  <c r="DH13" i="1"/>
  <c r="DG13" i="1"/>
  <c r="DF13" i="1"/>
  <c r="DC13" i="1"/>
  <c r="CR13" i="1"/>
  <c r="CR136" i="1" s="1"/>
  <c r="CC13" i="1"/>
  <c r="CB13" i="1"/>
  <c r="CA13" i="1"/>
  <c r="BZ13" i="1"/>
  <c r="BY13" i="1"/>
  <c r="BX13" i="1"/>
  <c r="BW13" i="1"/>
  <c r="BV13" i="1"/>
  <c r="BU13" i="1"/>
  <c r="BT13" i="1"/>
  <c r="BR13" i="1"/>
  <c r="BQ13" i="1"/>
  <c r="BP13" i="1"/>
  <c r="BO13" i="1"/>
  <c r="BN13" i="1"/>
  <c r="BM13" i="1"/>
  <c r="BL13" i="1"/>
  <c r="BK13" i="1"/>
  <c r="BJ13" i="1"/>
  <c r="BI13" i="1"/>
  <c r="BH13" i="1"/>
  <c r="BE13" i="1"/>
  <c r="AT13" i="1"/>
  <c r="AT136" i="1" s="1"/>
  <c r="AF13" i="1"/>
  <c r="AF136" i="1" s="1"/>
  <c r="U13" i="1"/>
  <c r="H13" i="1"/>
  <c r="EB12" i="1"/>
  <c r="EA12" i="1"/>
  <c r="EA136" i="1" s="1"/>
  <c r="DZ12" i="1"/>
  <c r="DY12" i="1"/>
  <c r="DX12" i="1"/>
  <c r="DX136" i="1" s="1"/>
  <c r="DW12" i="1"/>
  <c r="DW136" i="1" s="1"/>
  <c r="DV12" i="1"/>
  <c r="DU12" i="1"/>
  <c r="DT12" i="1"/>
  <c r="DT136" i="1" s="1"/>
  <c r="DS12" i="1"/>
  <c r="DS136" i="1" s="1"/>
  <c r="DR12" i="1"/>
  <c r="DQ12" i="1"/>
  <c r="DP12" i="1"/>
  <c r="DP136" i="1" s="1"/>
  <c r="DO12" i="1"/>
  <c r="DO136" i="1" s="1"/>
  <c r="DN12" i="1"/>
  <c r="DM12" i="1"/>
  <c r="DL12" i="1"/>
  <c r="DL136" i="1" s="1"/>
  <c r="DK12" i="1"/>
  <c r="DK136" i="1" s="1"/>
  <c r="DJ12" i="1"/>
  <c r="DI12" i="1"/>
  <c r="DH12" i="1"/>
  <c r="DH136" i="1" s="1"/>
  <c r="DG12" i="1"/>
  <c r="DF12" i="1"/>
  <c r="CF12" i="1"/>
  <c r="CD12" i="1"/>
  <c r="CC12" i="1"/>
  <c r="CC136" i="1" s="1"/>
  <c r="CB12" i="1"/>
  <c r="CA12" i="1"/>
  <c r="BZ12" i="1"/>
  <c r="BZ136" i="1" s="1"/>
  <c r="BY12" i="1"/>
  <c r="BY136" i="1" s="1"/>
  <c r="BX12" i="1"/>
  <c r="BW12" i="1"/>
  <c r="BV12" i="1"/>
  <c r="BV136" i="1" s="1"/>
  <c r="BU12" i="1"/>
  <c r="BU136" i="1" s="1"/>
  <c r="BT12" i="1"/>
  <c r="BS12" i="1"/>
  <c r="BR12" i="1"/>
  <c r="BR136" i="1" s="1"/>
  <c r="BQ12" i="1"/>
  <c r="BQ136" i="1" s="1"/>
  <c r="BP12" i="1"/>
  <c r="BP136" i="1" s="1"/>
  <c r="BO12" i="1"/>
  <c r="BN12" i="1"/>
  <c r="BN136" i="1" s="1"/>
  <c r="BM12" i="1"/>
  <c r="BM136" i="1" s="1"/>
  <c r="BL12" i="1"/>
  <c r="BL136" i="1" s="1"/>
  <c r="BK12" i="1"/>
  <c r="BJ12" i="1"/>
  <c r="BJ136" i="1" s="1"/>
  <c r="BI12" i="1"/>
  <c r="BH12" i="1"/>
  <c r="BH136" i="1" s="1"/>
  <c r="AH12" i="1"/>
  <c r="AG12" i="1"/>
  <c r="BF12" i="1" s="1"/>
  <c r="H12" i="1"/>
  <c r="I12" i="1" s="1"/>
  <c r="G12" i="1"/>
  <c r="ED12" i="1" s="1"/>
  <c r="EB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DB11" i="1"/>
  <c r="DB138" i="1" s="1"/>
  <c r="CH11" i="1"/>
  <c r="DG11" i="1" s="1"/>
  <c r="CD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H11" i="1"/>
  <c r="BD11" i="1"/>
  <c r="CC11" i="1" s="1"/>
  <c r="AJ11" i="1"/>
  <c r="H11" i="1"/>
  <c r="I11" i="1" s="1"/>
  <c r="G11" i="1"/>
  <c r="ED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H10" i="1"/>
  <c r="DF10" i="1"/>
  <c r="CH10" i="1"/>
  <c r="CD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J10" i="1"/>
  <c r="BH10" i="1"/>
  <c r="BD10" i="1"/>
  <c r="AL10" i="1"/>
  <c r="AL138" i="1" s="1"/>
  <c r="AJ10" i="1"/>
  <c r="BI10" i="1" s="1"/>
  <c r="K10" i="1"/>
  <c r="H10" i="1"/>
  <c r="G10" i="1"/>
  <c r="ED10" i="1" s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G9" i="1" s="1"/>
  <c r="H9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G8" i="1"/>
  <c r="DF8" i="1"/>
  <c r="CF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I8" i="1"/>
  <c r="BH8" i="1"/>
  <c r="AH8" i="1"/>
  <c r="AF8" i="1"/>
  <c r="EB8" i="1" s="1"/>
  <c r="H8" i="1"/>
  <c r="G8" i="1"/>
  <c r="ED8" i="1" s="1"/>
  <c r="EB7" i="1"/>
  <c r="EA7" i="1"/>
  <c r="DZ7" i="1"/>
  <c r="DY7" i="1"/>
  <c r="DX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X7" i="1" s="1"/>
  <c r="CD7" i="1"/>
  <c r="CC7" i="1"/>
  <c r="CB7" i="1"/>
  <c r="CA7" i="1"/>
  <c r="BZ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Z7" i="1"/>
  <c r="BY7" i="1" s="1"/>
  <c r="AJ7" i="1"/>
  <c r="K7" i="1"/>
  <c r="DG7" i="1" s="1"/>
  <c r="H7" i="1"/>
  <c r="EA6" i="1"/>
  <c r="DZ6" i="1"/>
  <c r="DY6" i="1"/>
  <c r="DX6" i="1"/>
  <c r="DV6" i="1"/>
  <c r="DU6" i="1"/>
  <c r="DT6" i="1"/>
  <c r="DS6" i="1"/>
  <c r="DR6" i="1"/>
  <c r="DQ6" i="1"/>
  <c r="DP6" i="1"/>
  <c r="DO6" i="1"/>
  <c r="DN6" i="1"/>
  <c r="DM6" i="1"/>
  <c r="DL6" i="1"/>
  <c r="DK6" i="1"/>
  <c r="DJ6" i="1"/>
  <c r="DI6" i="1"/>
  <c r="DH6" i="1"/>
  <c r="DF6" i="1"/>
  <c r="DF138" i="1" s="1"/>
  <c r="DC6" i="1"/>
  <c r="CX6" i="1"/>
  <c r="CH6" i="1"/>
  <c r="CC6" i="1"/>
  <c r="CB6" i="1"/>
  <c r="CA6" i="1"/>
  <c r="BZ6" i="1"/>
  <c r="BZ24" i="1" s="1"/>
  <c r="BX6" i="1"/>
  <c r="BW6" i="1"/>
  <c r="BV6" i="1"/>
  <c r="BU6" i="1"/>
  <c r="BU138" i="1" s="1"/>
  <c r="BT6" i="1"/>
  <c r="BS6" i="1"/>
  <c r="BR6" i="1"/>
  <c r="BQ6" i="1"/>
  <c r="BQ138" i="1" s="1"/>
  <c r="BP6" i="1"/>
  <c r="BO6" i="1"/>
  <c r="BN6" i="1"/>
  <c r="BM6" i="1"/>
  <c r="BM24" i="1" s="1"/>
  <c r="BL6" i="1"/>
  <c r="BK6" i="1"/>
  <c r="BJ6" i="1"/>
  <c r="BH6" i="1"/>
  <c r="BE6" i="1"/>
  <c r="AZ6" i="1"/>
  <c r="AJ6" i="1"/>
  <c r="BI6" i="1" s="1"/>
  <c r="AF6" i="1"/>
  <c r="K6" i="1"/>
  <c r="H6" i="1"/>
  <c r="DG68" i="1" l="1"/>
  <c r="AH88" i="1"/>
  <c r="AQ134" i="1"/>
  <c r="DC134" i="1"/>
  <c r="AH116" i="1"/>
  <c r="DC136" i="1"/>
  <c r="AH23" i="1"/>
  <c r="CF37" i="1"/>
  <c r="CD54" i="1"/>
  <c r="BI59" i="1"/>
  <c r="DG71" i="1"/>
  <c r="AH86" i="1"/>
  <c r="CF86" i="1"/>
  <c r="CE86" i="1" s="1"/>
  <c r="DD86" i="1" s="1"/>
  <c r="AH92" i="1"/>
  <c r="AG92" i="1" s="1"/>
  <c r="BF92" i="1" s="1"/>
  <c r="CF119" i="1"/>
  <c r="CE119" i="1" s="1"/>
  <c r="DD119" i="1" s="1"/>
  <c r="CF124" i="1"/>
  <c r="CH138" i="1"/>
  <c r="AH7" i="1"/>
  <c r="CF22" i="1"/>
  <c r="CD38" i="1"/>
  <c r="CF41" i="1"/>
  <c r="CF48" i="1"/>
  <c r="AH67" i="1"/>
  <c r="DG72" i="1"/>
  <c r="AH90" i="1"/>
  <c r="AL97" i="1"/>
  <c r="BY101" i="1"/>
  <c r="CG134" i="1"/>
  <c r="AH123" i="1"/>
  <c r="AH124" i="1"/>
  <c r="DE12" i="1"/>
  <c r="CF13" i="1"/>
  <c r="CH136" i="1"/>
  <c r="CF136" i="1" s="1"/>
  <c r="DE19" i="1"/>
  <c r="BI23" i="1"/>
  <c r="CE26" i="1"/>
  <c r="DD26" i="1" s="1"/>
  <c r="DM26" i="1"/>
  <c r="DM29" i="1"/>
  <c r="DE29" i="1" s="1"/>
  <c r="EF29" i="1" s="1"/>
  <c r="I36" i="1"/>
  <c r="DM38" i="1"/>
  <c r="CF47" i="1"/>
  <c r="DK139" i="1"/>
  <c r="DO139" i="1"/>
  <c r="DS139" i="1"/>
  <c r="BG52" i="1"/>
  <c r="I60" i="1"/>
  <c r="ED81" i="1"/>
  <c r="AG81" i="1"/>
  <c r="BF81" i="1" s="1"/>
  <c r="DY85" i="1"/>
  <c r="BY98" i="1"/>
  <c r="EE99" i="1"/>
  <c r="BO107" i="1"/>
  <c r="G107" i="1"/>
  <c r="AG107" i="1" s="1"/>
  <c r="BF107" i="1" s="1"/>
  <c r="G120" i="1"/>
  <c r="ED120" i="1" s="1"/>
  <c r="DG120" i="1"/>
  <c r="BI120" i="1"/>
  <c r="I122" i="1"/>
  <c r="DT24" i="1"/>
  <c r="BZ42" i="1"/>
  <c r="DE83" i="1"/>
  <c r="DO98" i="1"/>
  <c r="BQ98" i="1"/>
  <c r="CE30" i="1"/>
  <c r="DD30" i="1" s="1"/>
  <c r="I47" i="1"/>
  <c r="BN24" i="1"/>
  <c r="BR24" i="1"/>
  <c r="DI138" i="1"/>
  <c r="DM138" i="1"/>
  <c r="DU138" i="1"/>
  <c r="DZ138" i="1"/>
  <c r="CD8" i="1"/>
  <c r="BG8" i="1" s="1"/>
  <c r="EE8" i="1" s="1"/>
  <c r="I10" i="1"/>
  <c r="BD138" i="1"/>
  <c r="BK136" i="1"/>
  <c r="BO136" i="1"/>
  <c r="BW136" i="1"/>
  <c r="CA136" i="1"/>
  <c r="EF12" i="1"/>
  <c r="I15" i="1"/>
  <c r="U138" i="1"/>
  <c r="G18" i="1"/>
  <c r="CE18" i="1" s="1"/>
  <c r="DD18" i="1" s="1"/>
  <c r="DQ18" i="1"/>
  <c r="I19" i="1"/>
  <c r="I21" i="1"/>
  <c r="CD22" i="1"/>
  <c r="I23" i="1"/>
  <c r="N131" i="1"/>
  <c r="N141" i="1" s="1"/>
  <c r="CS131" i="1"/>
  <c r="CS141" i="1" s="1"/>
  <c r="BO25" i="1"/>
  <c r="DT50" i="1"/>
  <c r="BO26" i="1"/>
  <c r="BQ27" i="1"/>
  <c r="G32" i="1"/>
  <c r="EB34" i="1"/>
  <c r="CF34" i="1"/>
  <c r="G38" i="1"/>
  <c r="DX40" i="1"/>
  <c r="CF40" i="1"/>
  <c r="DX41" i="1"/>
  <c r="G41" i="1"/>
  <c r="ED41" i="1" s="1"/>
  <c r="I44" i="1"/>
  <c r="CE44" i="1"/>
  <c r="DD44" i="1" s="1"/>
  <c r="BO46" i="1"/>
  <c r="K137" i="1"/>
  <c r="G47" i="1"/>
  <c r="ED47" i="1" s="1"/>
  <c r="DG58" i="1"/>
  <c r="G58" i="1"/>
  <c r="ED58" i="1" s="1"/>
  <c r="CE66" i="1"/>
  <c r="DD66" i="1" s="1"/>
  <c r="CX135" i="1"/>
  <c r="CX97" i="1"/>
  <c r="BQ101" i="1"/>
  <c r="DO101" i="1"/>
  <c r="G101" i="1"/>
  <c r="ED101" i="1" s="1"/>
  <c r="DY138" i="1"/>
  <c r="I8" i="1"/>
  <c r="DE8" i="1"/>
  <c r="DQ14" i="1"/>
  <c r="DE14" i="1" s="1"/>
  <c r="EF14" i="1" s="1"/>
  <c r="K138" i="1"/>
  <c r="BE138" i="1"/>
  <c r="DJ138" i="1"/>
  <c r="DN138" i="1"/>
  <c r="DR138" i="1"/>
  <c r="DV138" i="1"/>
  <c r="CE8" i="1"/>
  <c r="DD8" i="1" s="1"/>
  <c r="I9" i="1"/>
  <c r="BT136" i="1"/>
  <c r="BX136" i="1"/>
  <c r="CB136" i="1"/>
  <c r="U136" i="1"/>
  <c r="EB15" i="1"/>
  <c r="I18" i="1"/>
  <c r="BI21" i="1"/>
  <c r="AH22" i="1"/>
  <c r="EB22" i="1"/>
  <c r="I26" i="1"/>
  <c r="BG26" i="1"/>
  <c r="I29" i="1"/>
  <c r="BO32" i="1"/>
  <c r="BG32" i="1" s="1"/>
  <c r="EE32" i="1" s="1"/>
  <c r="CD33" i="1"/>
  <c r="I34" i="1"/>
  <c r="BO34" i="1"/>
  <c r="DM35" i="1"/>
  <c r="DX35" i="1"/>
  <c r="DX38" i="1"/>
  <c r="BZ40" i="1"/>
  <c r="BG40" i="1" s="1"/>
  <c r="EE40" i="1" s="1"/>
  <c r="AH40" i="1"/>
  <c r="DE40" i="1"/>
  <c r="DE41" i="1"/>
  <c r="AH44" i="1"/>
  <c r="AG44" i="1" s="1"/>
  <c r="BF44" i="1" s="1"/>
  <c r="BO44" i="1"/>
  <c r="BG44" i="1" s="1"/>
  <c r="AH45" i="1"/>
  <c r="CF45" i="1"/>
  <c r="G46" i="1"/>
  <c r="ED46" i="1" s="1"/>
  <c r="G54" i="1"/>
  <c r="ED54" i="1" s="1"/>
  <c r="I71" i="1"/>
  <c r="AH83" i="1"/>
  <c r="BX83" i="1"/>
  <c r="BG83" i="1" s="1"/>
  <c r="J135" i="1"/>
  <c r="G94" i="1"/>
  <c r="DN109" i="1"/>
  <c r="G109" i="1"/>
  <c r="ED109" i="1" s="1"/>
  <c r="AA139" i="1"/>
  <c r="AH59" i="1"/>
  <c r="DG60" i="1"/>
  <c r="DE60" i="1" s="1"/>
  <c r="I66" i="1"/>
  <c r="I72" i="1"/>
  <c r="I74" i="1"/>
  <c r="DG75" i="1"/>
  <c r="DE75" i="1" s="1"/>
  <c r="DE76" i="1"/>
  <c r="I80" i="1"/>
  <c r="I81" i="1"/>
  <c r="I84" i="1"/>
  <c r="DE92" i="1"/>
  <c r="AZ134" i="1"/>
  <c r="BJ134" i="1"/>
  <c r="CB134" i="1"/>
  <c r="DS134" i="1"/>
  <c r="DE110" i="1"/>
  <c r="CF128" i="1"/>
  <c r="CT140" i="1"/>
  <c r="CT141" i="1" s="1"/>
  <c r="CR138" i="2"/>
  <c r="M131" i="2"/>
  <c r="I48" i="1"/>
  <c r="AH48" i="1"/>
  <c r="BO49" i="1"/>
  <c r="DM139" i="1"/>
  <c r="DQ139" i="1"/>
  <c r="DY139" i="1"/>
  <c r="I52" i="1"/>
  <c r="EB54" i="1"/>
  <c r="AG57" i="1"/>
  <c r="BF57" i="1" s="1"/>
  <c r="BI58" i="1"/>
  <c r="BI60" i="1"/>
  <c r="BG60" i="1" s="1"/>
  <c r="CE61" i="1"/>
  <c r="DD61" i="1" s="1"/>
  <c r="CD63" i="1"/>
  <c r="EE64" i="1"/>
  <c r="DU66" i="1"/>
  <c r="DE66" i="1" s="1"/>
  <c r="EF66" i="1" s="1"/>
  <c r="EB67" i="1"/>
  <c r="AH70" i="1"/>
  <c r="AG70" i="1" s="1"/>
  <c r="BF70" i="1" s="1"/>
  <c r="DE72" i="1"/>
  <c r="EF72" i="1" s="1"/>
  <c r="DE73" i="1"/>
  <c r="BI75" i="1"/>
  <c r="BG75" i="1" s="1"/>
  <c r="I79" i="1"/>
  <c r="EF82" i="1"/>
  <c r="I88" i="1"/>
  <c r="BG92" i="1"/>
  <c r="EE92" i="1" s="1"/>
  <c r="I93" i="1"/>
  <c r="CD95" i="1"/>
  <c r="DX98" i="1"/>
  <c r="DW101" i="1"/>
  <c r="AF134" i="1"/>
  <c r="BK134" i="1"/>
  <c r="BX134" i="1"/>
  <c r="DH134" i="1"/>
  <c r="DT134" i="1"/>
  <c r="BG104" i="1"/>
  <c r="EE104" i="1" s="1"/>
  <c r="I107" i="1"/>
  <c r="I108" i="1"/>
  <c r="CE108" i="1"/>
  <c r="DD108" i="1" s="1"/>
  <c r="I109" i="1"/>
  <c r="I110" i="1"/>
  <c r="BG112" i="1"/>
  <c r="DE112" i="1"/>
  <c r="BQ113" i="1"/>
  <c r="I116" i="1"/>
  <c r="BY122" i="1"/>
  <c r="BI122" i="1"/>
  <c r="DG122" i="1"/>
  <c r="Z140" i="1"/>
  <c r="Z141" i="1" s="1"/>
  <c r="CU140" i="1"/>
  <c r="CU141" i="1" s="1"/>
  <c r="Q134" i="2"/>
  <c r="G42" i="1"/>
  <c r="ED42" i="1" s="1"/>
  <c r="DX47" i="1"/>
  <c r="CH137" i="1"/>
  <c r="EB49" i="1"/>
  <c r="DR139" i="1"/>
  <c r="DV139" i="1"/>
  <c r="DZ139" i="1"/>
  <c r="DG52" i="1"/>
  <c r="DE52" i="1" s="1"/>
  <c r="BG53" i="1"/>
  <c r="EE53" i="1" s="1"/>
  <c r="I54" i="1"/>
  <c r="CF55" i="1"/>
  <c r="DE57" i="1"/>
  <c r="DW59" i="1"/>
  <c r="CF62" i="1"/>
  <c r="AH63" i="1"/>
  <c r="EF64" i="1"/>
  <c r="EB65" i="1"/>
  <c r="DE65" i="1" s="1"/>
  <c r="EF65" i="1" s="1"/>
  <c r="BW66" i="1"/>
  <c r="BG66" i="1" s="1"/>
  <c r="G67" i="1"/>
  <c r="ED67" i="1" s="1"/>
  <c r="I69" i="1"/>
  <c r="I70" i="1"/>
  <c r="G71" i="1"/>
  <c r="ED71" i="1" s="1"/>
  <c r="I73" i="1"/>
  <c r="BG82" i="1"/>
  <c r="EE82" i="1" s="1"/>
  <c r="I83" i="1"/>
  <c r="I92" i="1"/>
  <c r="G95" i="1"/>
  <c r="ED95" i="1" s="1"/>
  <c r="BK95" i="1"/>
  <c r="DE99" i="1"/>
  <c r="EF99" i="1" s="1"/>
  <c r="DE100" i="1"/>
  <c r="AH101" i="1"/>
  <c r="R134" i="1"/>
  <c r="BS134" i="1"/>
  <c r="BE134" i="1"/>
  <c r="BL134" i="1"/>
  <c r="BU134" i="1"/>
  <c r="DI134" i="1"/>
  <c r="Q134" i="1"/>
  <c r="EE110" i="1"/>
  <c r="CE110" i="1"/>
  <c r="DD110" i="1" s="1"/>
  <c r="G111" i="1"/>
  <c r="ED111" i="1" s="1"/>
  <c r="EB111" i="1"/>
  <c r="EB113" i="1"/>
  <c r="CF113" i="1"/>
  <c r="BN114" i="1"/>
  <c r="AH115" i="1"/>
  <c r="AH117" i="1"/>
  <c r="CE118" i="1"/>
  <c r="DD118" i="1" s="1"/>
  <c r="BG119" i="1"/>
  <c r="DE121" i="1"/>
  <c r="AH122" i="1"/>
  <c r="G126" i="1"/>
  <c r="ED126" i="1" s="1"/>
  <c r="M140" i="1"/>
  <c r="M141" i="1" s="1"/>
  <c r="R137" i="2"/>
  <c r="G14" i="2"/>
  <c r="I14" i="2" s="1"/>
  <c r="CD34" i="2"/>
  <c r="G114" i="2"/>
  <c r="EE114" i="2" s="1"/>
  <c r="I86" i="2"/>
  <c r="I99" i="2"/>
  <c r="I121" i="2"/>
  <c r="CD71" i="2"/>
  <c r="BZ42" i="2"/>
  <c r="AG82" i="2"/>
  <c r="BF82" i="2" s="1"/>
  <c r="I96" i="2"/>
  <c r="BD134" i="2"/>
  <c r="AH42" i="2"/>
  <c r="AH44" i="2"/>
  <c r="AG44" i="2" s="1"/>
  <c r="BF44" i="2" s="1"/>
  <c r="AG78" i="2"/>
  <c r="BF78" i="2" s="1"/>
  <c r="CD51" i="1"/>
  <c r="AH51" i="1"/>
  <c r="CF51" i="1"/>
  <c r="I62" i="1"/>
  <c r="DM45" i="1"/>
  <c r="G45" i="1"/>
  <c r="ED45" i="1" s="1"/>
  <c r="DS136" i="2"/>
  <c r="DW136" i="2"/>
  <c r="EA136" i="2"/>
  <c r="CF13" i="2"/>
  <c r="I73" i="2"/>
  <c r="CE73" i="2"/>
  <c r="EF73" i="2"/>
  <c r="G95" i="2"/>
  <c r="EE95" i="2" s="1"/>
  <c r="CD95" i="2"/>
  <c r="R134" i="2"/>
  <c r="AI134" i="2"/>
  <c r="BE134" i="2"/>
  <c r="G108" i="2"/>
  <c r="EE108" i="2" s="1"/>
  <c r="G6" i="2"/>
  <c r="BZ38" i="2"/>
  <c r="CF41" i="2"/>
  <c r="EF41" i="2" s="1"/>
  <c r="CE86" i="2"/>
  <c r="EF86" i="2"/>
  <c r="CD87" i="2"/>
  <c r="CF89" i="2"/>
  <c r="EF89" i="2" s="1"/>
  <c r="EB90" i="2"/>
  <c r="DX98" i="2"/>
  <c r="S134" i="2"/>
  <c r="AH46" i="2"/>
  <c r="CF54" i="2"/>
  <c r="EF54" i="2" s="1"/>
  <c r="AH87" i="2"/>
  <c r="BI6" i="2"/>
  <c r="AH22" i="2"/>
  <c r="AR137" i="2"/>
  <c r="G32" i="2"/>
  <c r="I32" i="2" s="1"/>
  <c r="BO32" i="2"/>
  <c r="G38" i="2"/>
  <c r="EE38" i="2" s="1"/>
  <c r="I40" i="2"/>
  <c r="BI48" i="2"/>
  <c r="AH59" i="2"/>
  <c r="EB63" i="2"/>
  <c r="G87" i="2"/>
  <c r="EE87" i="2" s="1"/>
  <c r="I93" i="2"/>
  <c r="CA94" i="2"/>
  <c r="AH101" i="2"/>
  <c r="BQ101" i="2"/>
  <c r="BQ105" i="2"/>
  <c r="DG120" i="2"/>
  <c r="CF128" i="2"/>
  <c r="EF128" i="2" s="1"/>
  <c r="BM136" i="2"/>
  <c r="BQ136" i="2"/>
  <c r="AH23" i="2"/>
  <c r="I30" i="2"/>
  <c r="BO34" i="2"/>
  <c r="CF35" i="2"/>
  <c r="EF35" i="2" s="1"/>
  <c r="CF37" i="2"/>
  <c r="EF37" i="2" s="1"/>
  <c r="AG81" i="2"/>
  <c r="BF81" i="2" s="1"/>
  <c r="EE81" i="2"/>
  <c r="DE81" i="2"/>
  <c r="CE92" i="2"/>
  <c r="EE92" i="2"/>
  <c r="BI23" i="2"/>
  <c r="CU131" i="2"/>
  <c r="G25" i="2"/>
  <c r="EE25" i="2" s="1"/>
  <c r="BO30" i="2"/>
  <c r="CE57" i="2"/>
  <c r="DE64" i="2"/>
  <c r="I74" i="2"/>
  <c r="AZ134" i="2"/>
  <c r="G107" i="2"/>
  <c r="AG107" i="2" s="1"/>
  <c r="BF107" i="2" s="1"/>
  <c r="EB111" i="2"/>
  <c r="DE111" i="2" s="1"/>
  <c r="I112" i="2"/>
  <c r="AH122" i="2"/>
  <c r="CF124" i="2"/>
  <c r="EF124" i="2" s="1"/>
  <c r="AH126" i="2"/>
  <c r="V140" i="2"/>
  <c r="CS140" i="2"/>
  <c r="BG99" i="2"/>
  <c r="AG100" i="2"/>
  <c r="BF100" i="2" s="1"/>
  <c r="CJ140" i="2"/>
  <c r="I125" i="2"/>
  <c r="CE78" i="2"/>
  <c r="I79" i="2"/>
  <c r="I80" i="2"/>
  <c r="CE80" i="2"/>
  <c r="CE84" i="2"/>
  <c r="BG57" i="2"/>
  <c r="CE56" i="2"/>
  <c r="AG64" i="2"/>
  <c r="BF64" i="2" s="1"/>
  <c r="I62" i="2"/>
  <c r="DH137" i="2"/>
  <c r="DL137" i="2"/>
  <c r="DQ50" i="2"/>
  <c r="DY50" i="2"/>
  <c r="BM24" i="2"/>
  <c r="BZ24" i="2"/>
  <c r="DT24" i="2"/>
  <c r="AG12" i="2"/>
  <c r="BF12" i="2" s="1"/>
  <c r="N140" i="2"/>
  <c r="CI140" i="2"/>
  <c r="BG45" i="1"/>
  <c r="BI54" i="1"/>
  <c r="BG54" i="1" s="1"/>
  <c r="EE54" i="1" s="1"/>
  <c r="AH54" i="1"/>
  <c r="AG54" i="1" s="1"/>
  <c r="BF54" i="1" s="1"/>
  <c r="DG74" i="1"/>
  <c r="CF74" i="1"/>
  <c r="CE74" i="1" s="1"/>
  <c r="DD74" i="1" s="1"/>
  <c r="AH95" i="1"/>
  <c r="CA95" i="1"/>
  <c r="AZ138" i="1"/>
  <c r="BY6" i="1"/>
  <c r="CF10" i="1"/>
  <c r="DG10" i="1"/>
  <c r="DE10" i="1" s="1"/>
  <c r="CR138" i="1"/>
  <c r="CF17" i="1"/>
  <c r="CE17" i="1" s="1"/>
  <c r="DD17" i="1" s="1"/>
  <c r="BI74" i="1"/>
  <c r="AH74" i="1"/>
  <c r="EF79" i="1"/>
  <c r="CE79" i="1"/>
  <c r="DD79" i="1" s="1"/>
  <c r="AH30" i="1"/>
  <c r="BO30" i="1"/>
  <c r="BG30" i="1" s="1"/>
  <c r="BI72" i="1"/>
  <c r="BG72" i="1" s="1"/>
  <c r="AH72" i="1"/>
  <c r="AH79" i="1"/>
  <c r="BX79" i="1"/>
  <c r="BG79" i="1" s="1"/>
  <c r="DV89" i="1"/>
  <c r="CF89" i="1"/>
  <c r="BK10" i="1"/>
  <c r="BI11" i="1"/>
  <c r="AH11" i="1"/>
  <c r="AG11" i="1" s="1"/>
  <c r="BF11" i="1" s="1"/>
  <c r="BI62" i="1"/>
  <c r="BG62" i="1" s="1"/>
  <c r="AH62" i="1"/>
  <c r="AG83" i="1"/>
  <c r="BF83" i="1" s="1"/>
  <c r="AH38" i="1"/>
  <c r="AG38" i="1" s="1"/>
  <c r="BF38" i="1" s="1"/>
  <c r="AJ137" i="1"/>
  <c r="BI63" i="1"/>
  <c r="H97" i="1"/>
  <c r="EF83" i="1"/>
  <c r="H129" i="1"/>
  <c r="BW134" i="1"/>
  <c r="DE116" i="1"/>
  <c r="CF117" i="1"/>
  <c r="CX123" i="1"/>
  <c r="DW123" i="1" s="1"/>
  <c r="DV84" i="2"/>
  <c r="DE84" i="2" s="1"/>
  <c r="AH35" i="1"/>
  <c r="I45" i="1"/>
  <c r="DE45" i="1"/>
  <c r="BI47" i="1"/>
  <c r="BI48" i="1"/>
  <c r="DC138" i="1"/>
  <c r="DE16" i="1"/>
  <c r="BI22" i="1"/>
  <c r="BG22" i="1" s="1"/>
  <c r="H50" i="1"/>
  <c r="AH25" i="1"/>
  <c r="AG25" i="1" s="1"/>
  <c r="BF25" i="1" s="1"/>
  <c r="AH26" i="1"/>
  <c r="AS137" i="1"/>
  <c r="CF35" i="1"/>
  <c r="AH37" i="1"/>
  <c r="BQ38" i="1"/>
  <c r="AH42" i="1"/>
  <c r="DX45" i="1"/>
  <c r="BO48" i="1"/>
  <c r="AH49" i="1"/>
  <c r="AG49" i="1" s="1"/>
  <c r="BF49" i="1" s="1"/>
  <c r="BI55" i="1"/>
  <c r="AH58" i="1"/>
  <c r="I59" i="1"/>
  <c r="CX67" i="1"/>
  <c r="DW67" i="1" s="1"/>
  <c r="AH69" i="1"/>
  <c r="AH71" i="1"/>
  <c r="BI71" i="1"/>
  <c r="DE84" i="1"/>
  <c r="CA85" i="1"/>
  <c r="CF88" i="1"/>
  <c r="CE88" i="1" s="1"/>
  <c r="DD88" i="1" s="1"/>
  <c r="EB101" i="1"/>
  <c r="BD134" i="1"/>
  <c r="BQ105" i="1"/>
  <c r="AH109" i="1"/>
  <c r="EB109" i="1"/>
  <c r="AH113" i="1"/>
  <c r="CF114" i="1"/>
  <c r="DE119" i="1"/>
  <c r="CD125" i="1"/>
  <c r="BG125" i="1" s="1"/>
  <c r="EE125" i="1" s="1"/>
  <c r="EB125" i="1"/>
  <c r="AH126" i="1"/>
  <c r="AH128" i="1"/>
  <c r="AS137" i="2"/>
  <c r="CP137" i="2"/>
  <c r="DX41" i="2"/>
  <c r="BI63" i="2"/>
  <c r="AH73" i="2"/>
  <c r="AG73" i="2" s="1"/>
  <c r="BF73" i="2" s="1"/>
  <c r="BP98" i="2"/>
  <c r="AH117" i="2"/>
  <c r="AH128" i="2"/>
  <c r="EB17" i="1"/>
  <c r="CN50" i="1"/>
  <c r="BA137" i="1"/>
  <c r="AH43" i="1"/>
  <c r="CE45" i="1"/>
  <c r="DD45" i="1" s="1"/>
  <c r="H77" i="1"/>
  <c r="BG51" i="1"/>
  <c r="AH55" i="1"/>
  <c r="DG56" i="1"/>
  <c r="I63" i="1"/>
  <c r="DE67" i="1"/>
  <c r="AH68" i="1"/>
  <c r="DE78" i="1"/>
  <c r="EB87" i="1"/>
  <c r="AI134" i="1"/>
  <c r="AH105" i="1"/>
  <c r="AH114" i="1"/>
  <c r="CH138" i="2"/>
  <c r="AH45" i="2"/>
  <c r="I100" i="2"/>
  <c r="DE125" i="1"/>
  <c r="EB17" i="2"/>
  <c r="BG44" i="2"/>
  <c r="BI10" i="2"/>
  <c r="BJ136" i="2"/>
  <c r="BN136" i="2"/>
  <c r="BR136" i="2"/>
  <c r="BV136" i="2"/>
  <c r="BZ136" i="2"/>
  <c r="DH136" i="2"/>
  <c r="DL136" i="2"/>
  <c r="DP136" i="2"/>
  <c r="DT136" i="2"/>
  <c r="DX136" i="2"/>
  <c r="AT136" i="2"/>
  <c r="CR136" i="2"/>
  <c r="CD15" i="2"/>
  <c r="BG15" i="2" s="1"/>
  <c r="DG23" i="2"/>
  <c r="V131" i="2"/>
  <c r="Z131" i="2"/>
  <c r="BO29" i="2"/>
  <c r="BG29" i="2" s="1"/>
  <c r="CD33" i="2"/>
  <c r="DX35" i="2"/>
  <c r="AH37" i="2"/>
  <c r="AJ137" i="2"/>
  <c r="CB139" i="2"/>
  <c r="I56" i="2"/>
  <c r="CF58" i="2"/>
  <c r="EF58" i="2" s="1"/>
  <c r="EB65" i="2"/>
  <c r="DE65" i="2" s="1"/>
  <c r="I69" i="2"/>
  <c r="I76" i="2"/>
  <c r="DV80" i="2"/>
  <c r="DE80" i="2" s="1"/>
  <c r="I81" i="2"/>
  <c r="DE82" i="2"/>
  <c r="I83" i="2"/>
  <c r="I84" i="2"/>
  <c r="DY86" i="2"/>
  <c r="DE86" i="2" s="1"/>
  <c r="I88" i="2"/>
  <c r="AH90" i="2"/>
  <c r="DN98" i="2"/>
  <c r="DG10" i="2"/>
  <c r="DE10" i="2" s="1"/>
  <c r="BE138" i="2"/>
  <c r="G21" i="2"/>
  <c r="G23" i="2"/>
  <c r="CD38" i="2"/>
  <c r="H77" i="2"/>
  <c r="DH139" i="2"/>
  <c r="DL139" i="2"/>
  <c r="DP139" i="2"/>
  <c r="DT139" i="2"/>
  <c r="G65" i="2"/>
  <c r="DG76" i="2"/>
  <c r="DE78" i="2"/>
  <c r="CE81" i="2"/>
  <c r="CE82" i="2"/>
  <c r="AG84" i="2"/>
  <c r="BF84" i="2" s="1"/>
  <c r="DE90" i="2"/>
  <c r="BL134" i="2"/>
  <c r="BU134" i="2"/>
  <c r="AH105" i="2"/>
  <c r="DO105" i="2"/>
  <c r="DE105" i="2" s="1"/>
  <c r="BQ113" i="2"/>
  <c r="G118" i="2"/>
  <c r="EE118" i="2" s="1"/>
  <c r="AG125" i="2"/>
  <c r="BF125" i="2" s="1"/>
  <c r="I12" i="2"/>
  <c r="BH136" i="2"/>
  <c r="BT136" i="2"/>
  <c r="BX136" i="2"/>
  <c r="CB136" i="2"/>
  <c r="DJ136" i="2"/>
  <c r="DN136" i="2"/>
  <c r="U136" i="2"/>
  <c r="AG14" i="2"/>
  <c r="BF14" i="2" s="1"/>
  <c r="CF17" i="2"/>
  <c r="G18" i="2"/>
  <c r="CE18" i="2" s="1"/>
  <c r="DD18" i="2" s="1"/>
  <c r="CF22" i="2"/>
  <c r="G34" i="2"/>
  <c r="DX38" i="2"/>
  <c r="AH40" i="2"/>
  <c r="AG40" i="2" s="1"/>
  <c r="BF40" i="2" s="1"/>
  <c r="CF40" i="2"/>
  <c r="DM43" i="2"/>
  <c r="I44" i="2"/>
  <c r="CF44" i="2"/>
  <c r="CV46" i="2"/>
  <c r="CF55" i="2"/>
  <c r="EF55" i="2" s="1"/>
  <c r="AH58" i="2"/>
  <c r="BI60" i="2"/>
  <c r="AH71" i="2"/>
  <c r="BI72" i="2"/>
  <c r="BG72" i="2" s="1"/>
  <c r="CF74" i="2"/>
  <c r="BI76" i="2"/>
  <c r="AG80" i="2"/>
  <c r="BF80" i="2" s="1"/>
  <c r="BG82" i="2"/>
  <c r="AH88" i="2"/>
  <c r="DY94" i="2"/>
  <c r="CE99" i="2"/>
  <c r="BG100" i="2"/>
  <c r="DC134" i="2"/>
  <c r="AG112" i="2"/>
  <c r="BF112" i="2" s="1"/>
  <c r="DE112" i="2"/>
  <c r="EB113" i="2"/>
  <c r="CF113" i="2"/>
  <c r="EF113" i="2" s="1"/>
  <c r="I114" i="2"/>
  <c r="CF117" i="2"/>
  <c r="EF117" i="2" s="1"/>
  <c r="CF122" i="2"/>
  <c r="EF122" i="2" s="1"/>
  <c r="G111" i="2"/>
  <c r="EE111" i="2" s="1"/>
  <c r="BI7" i="2"/>
  <c r="BG7" i="2" s="1"/>
  <c r="DG7" i="2"/>
  <c r="G7" i="2"/>
  <c r="I7" i="2" s="1"/>
  <c r="BI11" i="2"/>
  <c r="BG11" i="2" s="1"/>
  <c r="AH11" i="2"/>
  <c r="AG11" i="2" s="1"/>
  <c r="BF11" i="2" s="1"/>
  <c r="AL135" i="2"/>
  <c r="AH95" i="2"/>
  <c r="BK95" i="2"/>
  <c r="AL97" i="2"/>
  <c r="AZ138" i="2"/>
  <c r="BY6" i="2"/>
  <c r="BY24" i="2" s="1"/>
  <c r="BJ138" i="2"/>
  <c r="BN138" i="2"/>
  <c r="BR24" i="2"/>
  <c r="BV24" i="2"/>
  <c r="DZ138" i="2"/>
  <c r="AH7" i="2"/>
  <c r="G8" i="2"/>
  <c r="AG8" i="2" s="1"/>
  <c r="BF8" i="2" s="1"/>
  <c r="BG8" i="2"/>
  <c r="I11" i="2"/>
  <c r="EB15" i="2"/>
  <c r="G15" i="2"/>
  <c r="I15" i="2" s="1"/>
  <c r="CI131" i="2"/>
  <c r="BA137" i="2"/>
  <c r="BZ27" i="2"/>
  <c r="CF29" i="2"/>
  <c r="EF29" i="2" s="1"/>
  <c r="DM29" i="2"/>
  <c r="DE29" i="2" s="1"/>
  <c r="CD37" i="2"/>
  <c r="EB37" i="2"/>
  <c r="BO48" i="2"/>
  <c r="G48" i="2"/>
  <c r="EE48" i="2" s="1"/>
  <c r="DG69" i="2"/>
  <c r="CX69" i="2"/>
  <c r="DW69" i="2" s="1"/>
  <c r="DJ138" i="2"/>
  <c r="DN138" i="2"/>
  <c r="DR138" i="2"/>
  <c r="DV138" i="2"/>
  <c r="EB8" i="2"/>
  <c r="DE8" i="2" s="1"/>
  <c r="BL136" i="2"/>
  <c r="BP136" i="2"/>
  <c r="DF136" i="2"/>
  <c r="DR136" i="2"/>
  <c r="BS18" i="2"/>
  <c r="BG18" i="2" s="1"/>
  <c r="G45" i="2"/>
  <c r="DM45" i="2"/>
  <c r="BO45" i="2"/>
  <c r="BG45" i="2" s="1"/>
  <c r="BI47" i="2"/>
  <c r="G42" i="2"/>
  <c r="I42" i="2" s="1"/>
  <c r="BO42" i="2"/>
  <c r="BG42" i="2" s="1"/>
  <c r="CX7" i="2"/>
  <c r="DW7" i="2" s="1"/>
  <c r="DW24" i="2" s="1"/>
  <c r="CF11" i="2"/>
  <c r="DG11" i="2"/>
  <c r="BU136" i="2"/>
  <c r="BY136" i="2"/>
  <c r="CC136" i="2"/>
  <c r="DK136" i="2"/>
  <c r="DO136" i="2"/>
  <c r="AF136" i="2"/>
  <c r="BG14" i="2"/>
  <c r="AT138" i="2"/>
  <c r="BZ30" i="2"/>
  <c r="BG30" i="2" s="1"/>
  <c r="AH30" i="2"/>
  <c r="AG30" i="2" s="1"/>
  <c r="BF30" i="2" s="1"/>
  <c r="BZ32" i="2"/>
  <c r="DX32" i="2"/>
  <c r="I36" i="2"/>
  <c r="BQ38" i="2"/>
  <c r="BQ137" i="2" s="1"/>
  <c r="DO38" i="2"/>
  <c r="CQ137" i="2"/>
  <c r="DP38" i="2"/>
  <c r="DE44" i="2"/>
  <c r="Y137" i="2"/>
  <c r="G46" i="2"/>
  <c r="DG58" i="2"/>
  <c r="G58" i="2"/>
  <c r="I18" i="2"/>
  <c r="DE21" i="2"/>
  <c r="BI22" i="2"/>
  <c r="I23" i="2"/>
  <c r="N131" i="2"/>
  <c r="CS131" i="2"/>
  <c r="BS137" i="2"/>
  <c r="CA137" i="2"/>
  <c r="CN50" i="2"/>
  <c r="DI50" i="2"/>
  <c r="S137" i="2"/>
  <c r="AQ137" i="2"/>
  <c r="BE137" i="2"/>
  <c r="BQ27" i="2"/>
  <c r="EB33" i="2"/>
  <c r="DE33" i="2" s="1"/>
  <c r="DE41" i="2"/>
  <c r="CF45" i="2"/>
  <c r="EF45" i="2" s="1"/>
  <c r="AH47" i="2"/>
  <c r="BO49" i="2"/>
  <c r="BR139" i="2"/>
  <c r="BV139" i="2"/>
  <c r="DI139" i="2"/>
  <c r="DM139" i="2"/>
  <c r="DG55" i="2"/>
  <c r="G55" i="2"/>
  <c r="G59" i="2"/>
  <c r="BI59" i="2"/>
  <c r="DG68" i="2"/>
  <c r="BI68" i="2"/>
  <c r="BG68" i="2" s="1"/>
  <c r="G68" i="2"/>
  <c r="EE68" i="2" s="1"/>
  <c r="CX68" i="2"/>
  <c r="DW68" i="2" s="1"/>
  <c r="BI69" i="2"/>
  <c r="AH69" i="2"/>
  <c r="AG69" i="2" s="1"/>
  <c r="BF69" i="2" s="1"/>
  <c r="I92" i="2"/>
  <c r="BS134" i="2"/>
  <c r="DI134" i="2"/>
  <c r="DU134" i="2"/>
  <c r="I21" i="2"/>
  <c r="CD22" i="2"/>
  <c r="CT131" i="2"/>
  <c r="H50" i="2"/>
  <c r="BK137" i="2"/>
  <c r="BO26" i="2"/>
  <c r="CY137" i="2"/>
  <c r="DM28" i="2"/>
  <c r="DE28" i="2" s="1"/>
  <c r="AB137" i="2"/>
  <c r="DX34" i="2"/>
  <c r="DM38" i="2"/>
  <c r="EB38" i="2"/>
  <c r="BG40" i="2"/>
  <c r="AH43" i="2"/>
  <c r="G47" i="2"/>
  <c r="AH48" i="2"/>
  <c r="AG48" i="2" s="1"/>
  <c r="BF48" i="2" s="1"/>
  <c r="CF48" i="2"/>
  <c r="EF48" i="2" s="1"/>
  <c r="EB49" i="2"/>
  <c r="AH51" i="2"/>
  <c r="DJ139" i="2"/>
  <c r="DN139" i="2"/>
  <c r="DR139" i="2"/>
  <c r="DV139" i="2"/>
  <c r="K77" i="2"/>
  <c r="DG52" i="2"/>
  <c r="DE52" i="2" s="1"/>
  <c r="DG53" i="2"/>
  <c r="BI53" i="2"/>
  <c r="BG53" i="2" s="1"/>
  <c r="AH54" i="2"/>
  <c r="AG65" i="2"/>
  <c r="BF65" i="2" s="1"/>
  <c r="AH92" i="2"/>
  <c r="AG92" i="2" s="1"/>
  <c r="BF92" i="2" s="1"/>
  <c r="CA92" i="2"/>
  <c r="BG92" i="2" s="1"/>
  <c r="J135" i="2"/>
  <c r="G94" i="2"/>
  <c r="EE94" i="2" s="1"/>
  <c r="BQ98" i="2"/>
  <c r="BY101" i="2"/>
  <c r="DP109" i="2"/>
  <c r="G109" i="2"/>
  <c r="CF121" i="2"/>
  <c r="EF121" i="2" s="1"/>
  <c r="DG121" i="2"/>
  <c r="BQ138" i="2"/>
  <c r="BU138" i="2"/>
  <c r="DF138" i="2"/>
  <c r="I10" i="2"/>
  <c r="BD138" i="2"/>
  <c r="BK136" i="2"/>
  <c r="BO136" i="2"/>
  <c r="BW136" i="2"/>
  <c r="CA136" i="2"/>
  <c r="DC136" i="2"/>
  <c r="CF136" i="2" s="1"/>
  <c r="DQ14" i="2"/>
  <c r="DE14" i="2" s="1"/>
  <c r="I16" i="2"/>
  <c r="U138" i="2"/>
  <c r="U140" i="2" s="1"/>
  <c r="BI21" i="2"/>
  <c r="BG21" i="2" s="1"/>
  <c r="EB22" i="2"/>
  <c r="L131" i="2"/>
  <c r="BY137" i="2"/>
  <c r="CC137" i="2"/>
  <c r="DT137" i="2"/>
  <c r="G26" i="2"/>
  <c r="CE26" i="2" s="1"/>
  <c r="DM26" i="2"/>
  <c r="DC137" i="2"/>
  <c r="G29" i="2"/>
  <c r="AH29" i="2"/>
  <c r="AG29" i="2" s="1"/>
  <c r="BF29" i="2" s="1"/>
  <c r="CF30" i="2"/>
  <c r="EF30" i="2" s="1"/>
  <c r="G31" i="2"/>
  <c r="BO31" i="2"/>
  <c r="BG32" i="2"/>
  <c r="EB34" i="2"/>
  <c r="CF34" i="2"/>
  <c r="EF34" i="2" s="1"/>
  <c r="DM35" i="2"/>
  <c r="AH35" i="2"/>
  <c r="DM37" i="2"/>
  <c r="DE37" i="2" s="1"/>
  <c r="BO38" i="2"/>
  <c r="DE45" i="2"/>
  <c r="BO46" i="2"/>
  <c r="DX47" i="2"/>
  <c r="CH137" i="2"/>
  <c r="BX139" i="2"/>
  <c r="DF139" i="2"/>
  <c r="DK139" i="2"/>
  <c r="DO139" i="2"/>
  <c r="DS139" i="2"/>
  <c r="BI52" i="2"/>
  <c r="BG52" i="2" s="1"/>
  <c r="BI54" i="2"/>
  <c r="I57" i="2"/>
  <c r="AH86" i="2"/>
  <c r="AG86" i="2" s="1"/>
  <c r="BF86" i="2" s="1"/>
  <c r="CA86" i="2"/>
  <c r="BG86" i="2" s="1"/>
  <c r="DW98" i="2"/>
  <c r="BY98" i="2"/>
  <c r="CF126" i="2"/>
  <c r="EF126" i="2" s="1"/>
  <c r="K136" i="2"/>
  <c r="G127" i="2"/>
  <c r="EE127" i="2" s="1"/>
  <c r="DE57" i="2"/>
  <c r="BY59" i="2"/>
  <c r="AH62" i="2"/>
  <c r="AG62" i="2" s="1"/>
  <c r="BF62" i="2" s="1"/>
  <c r="CF62" i="2"/>
  <c r="EF62" i="2" s="1"/>
  <c r="G63" i="2"/>
  <c r="EE63" i="2" s="1"/>
  <c r="CD63" i="2"/>
  <c r="CE64" i="2"/>
  <c r="BG64" i="2"/>
  <c r="I65" i="2"/>
  <c r="I66" i="2"/>
  <c r="AH68" i="2"/>
  <c r="BY70" i="2"/>
  <c r="BI71" i="2"/>
  <c r="DE74" i="2"/>
  <c r="G75" i="2"/>
  <c r="EE75" i="2" s="1"/>
  <c r="BI75" i="2"/>
  <c r="BG75" i="2" s="1"/>
  <c r="BX78" i="2"/>
  <c r="BG78" i="2" s="1"/>
  <c r="BX80" i="2"/>
  <c r="BG80" i="2" s="1"/>
  <c r="BX84" i="2"/>
  <c r="BG84" i="2" s="1"/>
  <c r="G91" i="2"/>
  <c r="I91" i="2" s="1"/>
  <c r="CA91" i="2"/>
  <c r="BG91" i="2" s="1"/>
  <c r="I95" i="2"/>
  <c r="CE100" i="2"/>
  <c r="AQ134" i="2"/>
  <c r="BT134" i="2"/>
  <c r="BV134" i="2"/>
  <c r="CA134" i="2"/>
  <c r="DJ134" i="2"/>
  <c r="DR134" i="2"/>
  <c r="DV134" i="2"/>
  <c r="EA134" i="2"/>
  <c r="EB109" i="2"/>
  <c r="CD109" i="2"/>
  <c r="DE110" i="2"/>
  <c r="AH113" i="2"/>
  <c r="BN114" i="2"/>
  <c r="CF114" i="2"/>
  <c r="EF114" i="2" s="1"/>
  <c r="I116" i="2"/>
  <c r="CF116" i="2"/>
  <c r="DE118" i="2"/>
  <c r="I119" i="2"/>
  <c r="BI122" i="2"/>
  <c r="AH123" i="2"/>
  <c r="BI124" i="2"/>
  <c r="BG124" i="2" s="1"/>
  <c r="DG124" i="2"/>
  <c r="DW124" i="2"/>
  <c r="BI126" i="2"/>
  <c r="CT140" i="2"/>
  <c r="EB54" i="2"/>
  <c r="AH55" i="2"/>
  <c r="AG57" i="2"/>
  <c r="BF57" i="2" s="1"/>
  <c r="CF59" i="2"/>
  <c r="EF59" i="2" s="1"/>
  <c r="DG60" i="2"/>
  <c r="DE60" i="2" s="1"/>
  <c r="DG61" i="2"/>
  <c r="DE61" i="2" s="1"/>
  <c r="AH63" i="2"/>
  <c r="CF63" i="2"/>
  <c r="EF63" i="2" s="1"/>
  <c r="I64" i="2"/>
  <c r="DE69" i="2"/>
  <c r="AH70" i="2"/>
  <c r="BG73" i="2"/>
  <c r="AH74" i="2"/>
  <c r="AG74" i="2" s="1"/>
  <c r="BF74" i="2" s="1"/>
  <c r="I75" i="2"/>
  <c r="AH76" i="2"/>
  <c r="CF76" i="2"/>
  <c r="DE79" i="2"/>
  <c r="BG81" i="2"/>
  <c r="I82" i="2"/>
  <c r="DE83" i="2"/>
  <c r="EB87" i="2"/>
  <c r="DE87" i="2" s="1"/>
  <c r="DE96" i="2"/>
  <c r="H129" i="2"/>
  <c r="DP98" i="2"/>
  <c r="DE99" i="2"/>
  <c r="G101" i="2"/>
  <c r="T134" i="2"/>
  <c r="BJ134" i="2"/>
  <c r="CB134" i="2"/>
  <c r="DS134" i="2"/>
  <c r="BG108" i="2"/>
  <c r="AH109" i="2"/>
  <c r="CE110" i="2"/>
  <c r="BG110" i="2"/>
  <c r="AH115" i="2"/>
  <c r="AH116" i="2"/>
  <c r="BI118" i="2"/>
  <c r="BG118" i="2" s="1"/>
  <c r="AH119" i="2"/>
  <c r="AG119" i="2" s="1"/>
  <c r="BF119" i="2" s="1"/>
  <c r="CF119" i="2"/>
  <c r="EF119" i="2" s="1"/>
  <c r="CF120" i="2"/>
  <c r="EF120" i="2" s="1"/>
  <c r="BY122" i="2"/>
  <c r="BG123" i="2"/>
  <c r="BI127" i="2"/>
  <c r="BG127" i="2" s="1"/>
  <c r="BI128" i="2"/>
  <c r="BG128" i="2" s="1"/>
  <c r="Z140" i="2"/>
  <c r="CU140" i="2"/>
  <c r="BG60" i="2"/>
  <c r="CE62" i="2"/>
  <c r="AH67" i="2"/>
  <c r="I68" i="2"/>
  <c r="DG72" i="2"/>
  <c r="DE72" i="2" s="1"/>
  <c r="DE73" i="2"/>
  <c r="BG74" i="2"/>
  <c r="DE75" i="2"/>
  <c r="BG83" i="2"/>
  <c r="CF88" i="2"/>
  <c r="DE92" i="2"/>
  <c r="DW95" i="2"/>
  <c r="CX97" i="2"/>
  <c r="AG99" i="2"/>
  <c r="BF99" i="2" s="1"/>
  <c r="DE100" i="2"/>
  <c r="EB101" i="2"/>
  <c r="AF134" i="2"/>
  <c r="BK134" i="2"/>
  <c r="BX134" i="2"/>
  <c r="CG134" i="2"/>
  <c r="DH134" i="2"/>
  <c r="DT134" i="2"/>
  <c r="DY134" i="2"/>
  <c r="BG104" i="2"/>
  <c r="I107" i="2"/>
  <c r="BG112" i="2"/>
  <c r="AH114" i="2"/>
  <c r="AG114" i="2" s="1"/>
  <c r="BF114" i="2" s="1"/>
  <c r="DE116" i="2"/>
  <c r="AH120" i="2"/>
  <c r="AH124" i="2"/>
  <c r="AG124" i="2" s="1"/>
  <c r="BF124" i="2" s="1"/>
  <c r="M140" i="2"/>
  <c r="DE7" i="2"/>
  <c r="I9" i="2"/>
  <c r="CE9" i="2"/>
  <c r="DD9" i="2" s="1"/>
  <c r="CE20" i="2"/>
  <c r="DD20" i="2" s="1"/>
  <c r="AG9" i="2"/>
  <c r="BF9" i="2" s="1"/>
  <c r="CE11" i="2"/>
  <c r="DD11" i="2" s="1"/>
  <c r="I20" i="2"/>
  <c r="DE16" i="2"/>
  <c r="AG18" i="2"/>
  <c r="BF18" i="2" s="1"/>
  <c r="DE19" i="2"/>
  <c r="AG23" i="2"/>
  <c r="BF23" i="2" s="1"/>
  <c r="BG16" i="2"/>
  <c r="DE23" i="2"/>
  <c r="K138" i="2"/>
  <c r="AJ138" i="2"/>
  <c r="BO138" i="2"/>
  <c r="BW138" i="2"/>
  <c r="CA138" i="2"/>
  <c r="DC138" i="2"/>
  <c r="DG6" i="2"/>
  <c r="DO138" i="2"/>
  <c r="DS138" i="2"/>
  <c r="BK10" i="2"/>
  <c r="DE12" i="2"/>
  <c r="DI136" i="2"/>
  <c r="DM136" i="2"/>
  <c r="DU136" i="2"/>
  <c r="DY136" i="2"/>
  <c r="CD13" i="2"/>
  <c r="CD136" i="2" s="1"/>
  <c r="AJ136" i="2"/>
  <c r="DG15" i="2"/>
  <c r="DE15" i="2" s="1"/>
  <c r="CD17" i="2"/>
  <c r="EB18" i="2"/>
  <c r="DE18" i="2" s="1"/>
  <c r="G19" i="2"/>
  <c r="AG19" i="2" s="1"/>
  <c r="BF19" i="2" s="1"/>
  <c r="BS19" i="2"/>
  <c r="BG19" i="2" s="1"/>
  <c r="AH20" i="2"/>
  <c r="DG22" i="2"/>
  <c r="DE22" i="2" s="1"/>
  <c r="CF23" i="2"/>
  <c r="U24" i="2"/>
  <c r="U131" i="2" s="1"/>
  <c r="BE24" i="2"/>
  <c r="BQ24" i="2"/>
  <c r="BU24" i="2"/>
  <c r="DJ24" i="2"/>
  <c r="DO24" i="2"/>
  <c r="DZ24" i="2"/>
  <c r="Q137" i="2"/>
  <c r="DM25" i="2"/>
  <c r="BO25" i="2"/>
  <c r="Q50" i="2"/>
  <c r="BT137" i="2"/>
  <c r="BT50" i="2"/>
  <c r="BX137" i="2"/>
  <c r="BX50" i="2"/>
  <c r="DE32" i="2"/>
  <c r="AG36" i="2"/>
  <c r="BF36" i="2" s="1"/>
  <c r="AG39" i="2"/>
  <c r="BF39" i="2" s="1"/>
  <c r="DM42" i="2"/>
  <c r="AF138" i="2"/>
  <c r="BH138" i="2"/>
  <c r="BL138" i="2"/>
  <c r="BP138" i="2"/>
  <c r="BT138" i="2"/>
  <c r="BX138" i="2"/>
  <c r="CB138" i="2"/>
  <c r="CF6" i="2"/>
  <c r="DH138" i="2"/>
  <c r="DL138" i="2"/>
  <c r="DP138" i="2"/>
  <c r="DT138" i="2"/>
  <c r="DX138" i="2"/>
  <c r="EB6" i="2"/>
  <c r="CE8" i="2"/>
  <c r="DD8" i="2" s="1"/>
  <c r="CF10" i="2"/>
  <c r="BG12" i="2"/>
  <c r="CE12" i="2"/>
  <c r="DD12" i="2" s="1"/>
  <c r="DV136" i="2"/>
  <c r="DZ136" i="2"/>
  <c r="AH13" i="2"/>
  <c r="BS13" i="2"/>
  <c r="EB13" i="2"/>
  <c r="EB136" i="2" s="1"/>
  <c r="CF15" i="2"/>
  <c r="AH16" i="2"/>
  <c r="CF16" i="2"/>
  <c r="AH17" i="2"/>
  <c r="BS17" i="2"/>
  <c r="EB20" i="2"/>
  <c r="DE20" i="2" s="1"/>
  <c r="AG21" i="2"/>
  <c r="BF21" i="2" s="1"/>
  <c r="CE21" i="2"/>
  <c r="DD21" i="2" s="1"/>
  <c r="AL24" i="2"/>
  <c r="AL131" i="2" s="1"/>
  <c r="AT24" i="2"/>
  <c r="BJ24" i="2"/>
  <c r="BN24" i="2"/>
  <c r="CH24" i="2"/>
  <c r="DB24" i="2"/>
  <c r="DB131" i="2" s="1"/>
  <c r="DF24" i="2"/>
  <c r="DK24" i="2"/>
  <c r="DP24" i="2"/>
  <c r="DV24" i="2"/>
  <c r="AF137" i="2"/>
  <c r="EB25" i="2"/>
  <c r="DE25" i="2" s="1"/>
  <c r="AF50" i="2"/>
  <c r="BH137" i="2"/>
  <c r="BH50" i="2"/>
  <c r="BL137" i="2"/>
  <c r="BL50" i="2"/>
  <c r="BQ50" i="2"/>
  <c r="BU137" i="2"/>
  <c r="BU50" i="2"/>
  <c r="DR137" i="2"/>
  <c r="DR50" i="2"/>
  <c r="DV137" i="2"/>
  <c r="DV50" i="2"/>
  <c r="BO27" i="2"/>
  <c r="G27" i="2"/>
  <c r="EE27" i="2" s="1"/>
  <c r="DM27" i="2"/>
  <c r="EB27" i="2"/>
  <c r="CD27" i="2"/>
  <c r="BG33" i="2"/>
  <c r="CE42" i="2"/>
  <c r="CV137" i="2"/>
  <c r="CV50" i="2"/>
  <c r="DI138" i="2"/>
  <c r="DI24" i="2"/>
  <c r="DM138" i="2"/>
  <c r="DM24" i="2"/>
  <c r="DU138" i="2"/>
  <c r="DU24" i="2"/>
  <c r="DY138" i="2"/>
  <c r="DY24" i="2"/>
  <c r="CD9" i="2"/>
  <c r="BG9" i="2" s="1"/>
  <c r="EB9" i="2"/>
  <c r="DE9" i="2" s="1"/>
  <c r="CC10" i="2"/>
  <c r="CC24" i="2" s="1"/>
  <c r="EA11" i="2"/>
  <c r="EA24" i="2" s="1"/>
  <c r="DQ13" i="2"/>
  <c r="DQ17" i="2"/>
  <c r="DE17" i="2" s="1"/>
  <c r="CD20" i="2"/>
  <c r="BG20" i="2" s="1"/>
  <c r="K24" i="2"/>
  <c r="BK24" i="2"/>
  <c r="BO24" i="2"/>
  <c r="BW24" i="2"/>
  <c r="CA24" i="2"/>
  <c r="DC24" i="2"/>
  <c r="DL24" i="2"/>
  <c r="DR24" i="2"/>
  <c r="AG25" i="2"/>
  <c r="BF25" i="2" s="1"/>
  <c r="BM137" i="2"/>
  <c r="BM50" i="2"/>
  <c r="BV137" i="2"/>
  <c r="BV50" i="2"/>
  <c r="CD25" i="2"/>
  <c r="DF137" i="2"/>
  <c r="DF50" i="2"/>
  <c r="DJ137" i="2"/>
  <c r="DJ50" i="2"/>
  <c r="DE40" i="2"/>
  <c r="AG46" i="2"/>
  <c r="BF46" i="2" s="1"/>
  <c r="AG47" i="2"/>
  <c r="BF47" i="2" s="1"/>
  <c r="I6" i="2"/>
  <c r="AH6" i="2"/>
  <c r="BR138" i="2"/>
  <c r="BV138" i="2"/>
  <c r="BZ138" i="2"/>
  <c r="CD6" i="2"/>
  <c r="AH10" i="2"/>
  <c r="G13" i="2"/>
  <c r="BE136" i="2"/>
  <c r="AH15" i="2"/>
  <c r="AH136" i="2" s="1"/>
  <c r="G17" i="2"/>
  <c r="G22" i="2"/>
  <c r="BS23" i="2"/>
  <c r="H24" i="2"/>
  <c r="AF24" i="2"/>
  <c r="AJ24" i="2"/>
  <c r="AZ24" i="2"/>
  <c r="BD24" i="2"/>
  <c r="BH24" i="2"/>
  <c r="BL24" i="2"/>
  <c r="BP24" i="2"/>
  <c r="BT24" i="2"/>
  <c r="BX24" i="2"/>
  <c r="CB24" i="2"/>
  <c r="CR24" i="2"/>
  <c r="DH24" i="2"/>
  <c r="DN24" i="2"/>
  <c r="DS24" i="2"/>
  <c r="DX24" i="2"/>
  <c r="I25" i="2"/>
  <c r="AP137" i="2"/>
  <c r="AP50" i="2"/>
  <c r="BJ137" i="2"/>
  <c r="BJ50" i="2"/>
  <c r="BN137" i="2"/>
  <c r="BN50" i="2"/>
  <c r="CE25" i="2"/>
  <c r="EG25" i="2" s="1"/>
  <c r="BG26" i="2"/>
  <c r="DE35" i="2"/>
  <c r="CE36" i="2"/>
  <c r="DE38" i="2"/>
  <c r="I39" i="2"/>
  <c r="CE39" i="2"/>
  <c r="BG48" i="2"/>
  <c r="AG51" i="2"/>
  <c r="BF51" i="2" s="1"/>
  <c r="CE31" i="2"/>
  <c r="DM34" i="2"/>
  <c r="DE34" i="2" s="1"/>
  <c r="BO37" i="2"/>
  <c r="BG37" i="2" s="1"/>
  <c r="BZ39" i="2"/>
  <c r="BG39" i="2" s="1"/>
  <c r="DX39" i="2"/>
  <c r="DE39" i="2" s="1"/>
  <c r="BO43" i="2"/>
  <c r="CF46" i="2"/>
  <c r="EF46" i="2" s="1"/>
  <c r="BZ47" i="2"/>
  <c r="DG48" i="2"/>
  <c r="CD49" i="2"/>
  <c r="DM49" i="2"/>
  <c r="DE49" i="2" s="1"/>
  <c r="T50" i="2"/>
  <c r="AB50" i="2"/>
  <c r="AJ50" i="2"/>
  <c r="AR50" i="2"/>
  <c r="DH50" i="2"/>
  <c r="DL50" i="2"/>
  <c r="DT50" i="2"/>
  <c r="BJ139" i="2"/>
  <c r="BJ77" i="2"/>
  <c r="BN139" i="2"/>
  <c r="BN77" i="2"/>
  <c r="AG54" i="2"/>
  <c r="BF54" i="2" s="1"/>
  <c r="AG59" i="2"/>
  <c r="BF59" i="2" s="1"/>
  <c r="CN137" i="2"/>
  <c r="DK137" i="2"/>
  <c r="DS137" i="2"/>
  <c r="DW137" i="2"/>
  <c r="EA137" i="2"/>
  <c r="EB26" i="2"/>
  <c r="BR27" i="2"/>
  <c r="BR137" i="2" s="1"/>
  <c r="DN27" i="2"/>
  <c r="DN137" i="2" s="1"/>
  <c r="DM30" i="2"/>
  <c r="DE30" i="2" s="1"/>
  <c r="AH33" i="2"/>
  <c r="AH34" i="2"/>
  <c r="BZ34" i="2"/>
  <c r="CD35" i="2"/>
  <c r="G37" i="2"/>
  <c r="EE37" i="2" s="1"/>
  <c r="AH38" i="2"/>
  <c r="DX42" i="2"/>
  <c r="G43" i="2"/>
  <c r="CB43" i="2"/>
  <c r="CB137" i="2" s="1"/>
  <c r="CF43" i="2"/>
  <c r="EF43" i="2" s="1"/>
  <c r="BO47" i="2"/>
  <c r="DG47" i="2"/>
  <c r="DE47" i="2" s="1"/>
  <c r="EB48" i="2"/>
  <c r="G49" i="2"/>
  <c r="EE49" i="2" s="1"/>
  <c r="Y50" i="2"/>
  <c r="Y131" i="2" s="1"/>
  <c r="AS50" i="2"/>
  <c r="BA50" i="2"/>
  <c r="BE50" i="2"/>
  <c r="BY50" i="2"/>
  <c r="CC50" i="2"/>
  <c r="CO50" i="2"/>
  <c r="DA50" i="2"/>
  <c r="DA131" i="2" s="1"/>
  <c r="BK139" i="2"/>
  <c r="BK77" i="2"/>
  <c r="BO139" i="2"/>
  <c r="BO77" i="2"/>
  <c r="BS139" i="2"/>
  <c r="BS77" i="2"/>
  <c r="CA139" i="2"/>
  <c r="CA77" i="2"/>
  <c r="CH139" i="2"/>
  <c r="CH77" i="2"/>
  <c r="DG51" i="2"/>
  <c r="CF51" i="2"/>
  <c r="EF51" i="2" s="1"/>
  <c r="DE53" i="2"/>
  <c r="AG88" i="2"/>
  <c r="BF88" i="2" s="1"/>
  <c r="AH27" i="2"/>
  <c r="DO27" i="2"/>
  <c r="DO50" i="2" s="1"/>
  <c r="I31" i="2"/>
  <c r="DX31" i="2"/>
  <c r="DE31" i="2" s="1"/>
  <c r="I33" i="2"/>
  <c r="BO35" i="2"/>
  <c r="BO36" i="2"/>
  <c r="BG36" i="2" s="1"/>
  <c r="DM36" i="2"/>
  <c r="DE36" i="2" s="1"/>
  <c r="I38" i="2"/>
  <c r="BP38" i="2"/>
  <c r="CF38" i="2"/>
  <c r="EF38" i="2" s="1"/>
  <c r="G41" i="2"/>
  <c r="EE41" i="2" s="1"/>
  <c r="BZ41" i="2"/>
  <c r="BG41" i="2" s="1"/>
  <c r="DM46" i="2"/>
  <c r="DU46" i="2"/>
  <c r="DU50" i="2" s="1"/>
  <c r="CF47" i="2"/>
  <c r="EF47" i="2" s="1"/>
  <c r="DM48" i="2"/>
  <c r="CF49" i="2"/>
  <c r="EF49" i="2" s="1"/>
  <c r="R50" i="2"/>
  <c r="AD50" i="2"/>
  <c r="AD131" i="2" s="1"/>
  <c r="AX50" i="2"/>
  <c r="CH50" i="2"/>
  <c r="CP50" i="2"/>
  <c r="I51" i="2"/>
  <c r="AJ139" i="2"/>
  <c r="AJ77" i="2"/>
  <c r="BH139" i="2"/>
  <c r="BH77" i="2"/>
  <c r="BL139" i="2"/>
  <c r="BL77" i="2"/>
  <c r="BP139" i="2"/>
  <c r="BP77" i="2"/>
  <c r="BT139" i="2"/>
  <c r="BT77" i="2"/>
  <c r="AG55" i="2"/>
  <c r="BF55" i="2" s="1"/>
  <c r="I72" i="2"/>
  <c r="I89" i="2"/>
  <c r="DI137" i="2"/>
  <c r="DQ137" i="2"/>
  <c r="DY137" i="2"/>
  <c r="BP27" i="2"/>
  <c r="BP137" i="2" s="1"/>
  <c r="CF27" i="2"/>
  <c r="EF27" i="2" s="1"/>
  <c r="DP27" i="2"/>
  <c r="DP50" i="2" s="1"/>
  <c r="DX27" i="2"/>
  <c r="G28" i="2"/>
  <c r="EE28" i="2" s="1"/>
  <c r="BO28" i="2"/>
  <c r="BG28" i="2" s="1"/>
  <c r="BZ31" i="2"/>
  <c r="BG31" i="2" s="1"/>
  <c r="CF33" i="2"/>
  <c r="EF33" i="2" s="1"/>
  <c r="G35" i="2"/>
  <c r="EE35" i="2" s="1"/>
  <c r="AH41" i="2"/>
  <c r="DZ43" i="2"/>
  <c r="BW46" i="2"/>
  <c r="AH49" i="2"/>
  <c r="K50" i="2"/>
  <c r="S50" i="2"/>
  <c r="AQ50" i="2"/>
  <c r="BC50" i="2"/>
  <c r="BC131" i="2" s="1"/>
  <c r="BK50" i="2"/>
  <c r="BS50" i="2"/>
  <c r="BW50" i="2"/>
  <c r="CA50" i="2"/>
  <c r="CQ50" i="2"/>
  <c r="CY50" i="2"/>
  <c r="DC50" i="2"/>
  <c r="DK50" i="2"/>
  <c r="DS50" i="2"/>
  <c r="DW50" i="2"/>
  <c r="EA50" i="2"/>
  <c r="AF139" i="2"/>
  <c r="EB51" i="2"/>
  <c r="AF77" i="2"/>
  <c r="CD51" i="2"/>
  <c r="BE139" i="2"/>
  <c r="BE77" i="2"/>
  <c r="BI51" i="2"/>
  <c r="BM139" i="2"/>
  <c r="BM77" i="2"/>
  <c r="BQ139" i="2"/>
  <c r="BQ77" i="2"/>
  <c r="BU139" i="2"/>
  <c r="BU77" i="2"/>
  <c r="CC139" i="2"/>
  <c r="CC77" i="2"/>
  <c r="CE59" i="2"/>
  <c r="I60" i="2"/>
  <c r="BG62" i="2"/>
  <c r="DE62" i="2"/>
  <c r="AG63" i="2"/>
  <c r="BF63" i="2" s="1"/>
  <c r="CE63" i="2"/>
  <c r="BG69" i="2"/>
  <c r="BG70" i="2"/>
  <c r="BG76" i="2"/>
  <c r="DE76" i="2"/>
  <c r="BG79" i="2"/>
  <c r="DQ139" i="2"/>
  <c r="DY139" i="2"/>
  <c r="AH52" i="2"/>
  <c r="CF52" i="2"/>
  <c r="EF52" i="2" s="1"/>
  <c r="CD54" i="2"/>
  <c r="BG54" i="2" s="1"/>
  <c r="DG54" i="2"/>
  <c r="AZ139" i="2"/>
  <c r="BI55" i="2"/>
  <c r="BY55" i="2"/>
  <c r="BI56" i="2"/>
  <c r="BG56" i="2" s="1"/>
  <c r="DG56" i="2"/>
  <c r="DE56" i="2" s="1"/>
  <c r="DG59" i="2"/>
  <c r="DW59" i="2"/>
  <c r="G61" i="2"/>
  <c r="EE61" i="2" s="1"/>
  <c r="G67" i="2"/>
  <c r="EE67" i="2" s="1"/>
  <c r="BI67" i="2"/>
  <c r="BY67" i="2"/>
  <c r="G70" i="2"/>
  <c r="CX70" i="2"/>
  <c r="CF70" i="2" s="1"/>
  <c r="EF70" i="2" s="1"/>
  <c r="DG70" i="2"/>
  <c r="DC71" i="2"/>
  <c r="EB71" i="2" s="1"/>
  <c r="DG71" i="2"/>
  <c r="CV77" i="2"/>
  <c r="DH77" i="2"/>
  <c r="DL77" i="2"/>
  <c r="DP77" i="2"/>
  <c r="DT77" i="2"/>
  <c r="BL135" i="2"/>
  <c r="BL97" i="2"/>
  <c r="BP135" i="2"/>
  <c r="BP97" i="2"/>
  <c r="BT135" i="2"/>
  <c r="BT97" i="2"/>
  <c r="CB135" i="2"/>
  <c r="CB97" i="2"/>
  <c r="DJ135" i="2"/>
  <c r="DJ97" i="2"/>
  <c r="DN135" i="2"/>
  <c r="DN97" i="2"/>
  <c r="DR135" i="2"/>
  <c r="DR97" i="2"/>
  <c r="DZ135" i="2"/>
  <c r="DZ97" i="2"/>
  <c r="BB135" i="2"/>
  <c r="BB140" i="2" s="1"/>
  <c r="BB97" i="2"/>
  <c r="BB131" i="2" s="1"/>
  <c r="CZ135" i="2"/>
  <c r="CZ97" i="2"/>
  <c r="CZ131" i="2" s="1"/>
  <c r="CA88" i="2"/>
  <c r="BG88" i="2" s="1"/>
  <c r="DE88" i="2"/>
  <c r="CE94" i="2"/>
  <c r="BR133" i="2"/>
  <c r="AG111" i="2"/>
  <c r="BF111" i="2" s="1"/>
  <c r="CE118" i="2"/>
  <c r="DZ139" i="2"/>
  <c r="I52" i="2"/>
  <c r="I54" i="2"/>
  <c r="DW55" i="2"/>
  <c r="DE55" i="2" s="1"/>
  <c r="AA139" i="2"/>
  <c r="BI58" i="2"/>
  <c r="BY58" i="2"/>
  <c r="DG63" i="2"/>
  <c r="BI65" i="2"/>
  <c r="BW66" i="2"/>
  <c r="BW139" i="2" s="1"/>
  <c r="DU66" i="2"/>
  <c r="DE66" i="2" s="1"/>
  <c r="CD67" i="2"/>
  <c r="CX67" i="2"/>
  <c r="CF67" i="2" s="1"/>
  <c r="EF67" i="2" s="1"/>
  <c r="G71" i="2"/>
  <c r="EE71" i="2" s="1"/>
  <c r="AA77" i="2"/>
  <c r="AZ77" i="2"/>
  <c r="BX77" i="2"/>
  <c r="CB77" i="2"/>
  <c r="DI77" i="2"/>
  <c r="DM77" i="2"/>
  <c r="DQ77" i="2"/>
  <c r="DY77" i="2"/>
  <c r="H97" i="2"/>
  <c r="AY135" i="2"/>
  <c r="AY140" i="2" s="1"/>
  <c r="AY97" i="2"/>
  <c r="AY131" i="2" s="1"/>
  <c r="BI135" i="2"/>
  <c r="BI97" i="2"/>
  <c r="BM135" i="2"/>
  <c r="BM97" i="2"/>
  <c r="BQ135" i="2"/>
  <c r="BQ97" i="2"/>
  <c r="BU135" i="2"/>
  <c r="BU97" i="2"/>
  <c r="CC135" i="2"/>
  <c r="CC97" i="2"/>
  <c r="CW135" i="2"/>
  <c r="CW140" i="2" s="1"/>
  <c r="CW97" i="2"/>
  <c r="CW131" i="2" s="1"/>
  <c r="DG135" i="2"/>
  <c r="DG97" i="2"/>
  <c r="DK135" i="2"/>
  <c r="DK97" i="2"/>
  <c r="DO135" i="2"/>
  <c r="DO97" i="2"/>
  <c r="DS135" i="2"/>
  <c r="DS97" i="2"/>
  <c r="DW135" i="2"/>
  <c r="DW97" i="2"/>
  <c r="EA135" i="2"/>
  <c r="EA97" i="2"/>
  <c r="AF135" i="2"/>
  <c r="AF97" i="2"/>
  <c r="CD85" i="2"/>
  <c r="EB85" i="2"/>
  <c r="AI135" i="2"/>
  <c r="AI97" i="2"/>
  <c r="BH87" i="2"/>
  <c r="BG87" i="2" s="1"/>
  <c r="AH89" i="2"/>
  <c r="BH89" i="2"/>
  <c r="CA90" i="2"/>
  <c r="AG95" i="2"/>
  <c r="BF95" i="2" s="1"/>
  <c r="BG96" i="2"/>
  <c r="CE111" i="2"/>
  <c r="DE115" i="2"/>
  <c r="AG116" i="2"/>
  <c r="BF116" i="2" s="1"/>
  <c r="EA139" i="2"/>
  <c r="K139" i="2"/>
  <c r="G53" i="2"/>
  <c r="EE53" i="2" s="1"/>
  <c r="AG56" i="2"/>
  <c r="BF56" i="2" s="1"/>
  <c r="DW58" i="2"/>
  <c r="AH60" i="2"/>
  <c r="CF60" i="2"/>
  <c r="EF60" i="2" s="1"/>
  <c r="BI61" i="2"/>
  <c r="BG61" i="2" s="1"/>
  <c r="DX63" i="2"/>
  <c r="DX77" i="2" s="1"/>
  <c r="CD65" i="2"/>
  <c r="AH66" i="2"/>
  <c r="CF66" i="2"/>
  <c r="EF66" i="2" s="1"/>
  <c r="AG68" i="2"/>
  <c r="BF68" i="2" s="1"/>
  <c r="AG71" i="2"/>
  <c r="BF71" i="2" s="1"/>
  <c r="AH72" i="2"/>
  <c r="CF72" i="2"/>
  <c r="EF72" i="2" s="1"/>
  <c r="AG76" i="2"/>
  <c r="BF76" i="2" s="1"/>
  <c r="AB77" i="2"/>
  <c r="BA77" i="2"/>
  <c r="DF77" i="2"/>
  <c r="DJ77" i="2"/>
  <c r="DN77" i="2"/>
  <c r="DR77" i="2"/>
  <c r="DV77" i="2"/>
  <c r="DZ77" i="2"/>
  <c r="I78" i="2"/>
  <c r="BN135" i="2"/>
  <c r="BN97" i="2"/>
  <c r="BR135" i="2"/>
  <c r="BR97" i="2"/>
  <c r="BV135" i="2"/>
  <c r="BV97" i="2"/>
  <c r="DH135" i="2"/>
  <c r="DH97" i="2"/>
  <c r="DL135" i="2"/>
  <c r="DL97" i="2"/>
  <c r="DP135" i="2"/>
  <c r="DP97" i="2"/>
  <c r="DT135" i="2"/>
  <c r="DT97" i="2"/>
  <c r="AH79" i="2"/>
  <c r="CF79" i="2"/>
  <c r="EF79" i="2" s="1"/>
  <c r="AH83" i="2"/>
  <c r="CF83" i="2"/>
  <c r="EF83" i="2" s="1"/>
  <c r="G85" i="2"/>
  <c r="CA85" i="2"/>
  <c r="DY85" i="2"/>
  <c r="BE135" i="2"/>
  <c r="BE97" i="2"/>
  <c r="DC135" i="2"/>
  <c r="DC97" i="2"/>
  <c r="AK135" i="2"/>
  <c r="AK140" i="2" s="1"/>
  <c r="AK97" i="2"/>
  <c r="AK131" i="2" s="1"/>
  <c r="BJ89" i="2"/>
  <c r="BJ97" i="2" s="1"/>
  <c r="CE89" i="2"/>
  <c r="DE101" i="2"/>
  <c r="BZ63" i="2"/>
  <c r="BZ139" i="2" s="1"/>
  <c r="AG75" i="2"/>
  <c r="BF75" i="2" s="1"/>
  <c r="CE75" i="2"/>
  <c r="AX77" i="2"/>
  <c r="BR77" i="2"/>
  <c r="BV77" i="2"/>
  <c r="CY77" i="2"/>
  <c r="DK77" i="2"/>
  <c r="DO77" i="2"/>
  <c r="DS77" i="2"/>
  <c r="EA77" i="2"/>
  <c r="BK135" i="2"/>
  <c r="BK97" i="2"/>
  <c r="BO135" i="2"/>
  <c r="BO97" i="2"/>
  <c r="BS135" i="2"/>
  <c r="BS97" i="2"/>
  <c r="BW135" i="2"/>
  <c r="BW97" i="2"/>
  <c r="DI135" i="2"/>
  <c r="DI97" i="2"/>
  <c r="DM135" i="2"/>
  <c r="DM97" i="2"/>
  <c r="DQ135" i="2"/>
  <c r="DQ97" i="2"/>
  <c r="DU135" i="2"/>
  <c r="DU97" i="2"/>
  <c r="EB89" i="2"/>
  <c r="DE89" i="2" s="1"/>
  <c r="CD89" i="2"/>
  <c r="BX93" i="2"/>
  <c r="AH93" i="2"/>
  <c r="DV93" i="2"/>
  <c r="DV135" i="2" s="1"/>
  <c r="CF93" i="2"/>
  <c r="EF93" i="2" s="1"/>
  <c r="DO133" i="2"/>
  <c r="DW133" i="2"/>
  <c r="AG101" i="2"/>
  <c r="BF101" i="2" s="1"/>
  <c r="DE109" i="2"/>
  <c r="J97" i="2"/>
  <c r="J131" i="2" s="1"/>
  <c r="W133" i="2"/>
  <c r="W140" i="2" s="1"/>
  <c r="W129" i="2"/>
  <c r="W131" i="2" s="1"/>
  <c r="AE133" i="2"/>
  <c r="AE140" i="2" s="1"/>
  <c r="AE129" i="2"/>
  <c r="AE131" i="2" s="1"/>
  <c r="AM133" i="2"/>
  <c r="AM140" i="2" s="1"/>
  <c r="AM129" i="2"/>
  <c r="AM131" i="2" s="1"/>
  <c r="BE129" i="2"/>
  <c r="BE133" i="2"/>
  <c r="BI133" i="2"/>
  <c r="BM133" i="2"/>
  <c r="BQ133" i="2"/>
  <c r="BU98" i="2"/>
  <c r="BY133" i="2"/>
  <c r="CC98" i="2"/>
  <c r="CG129" i="2"/>
  <c r="CG131" i="2" s="1"/>
  <c r="CG133" i="2"/>
  <c r="DF98" i="2"/>
  <c r="DJ129" i="2"/>
  <c r="DJ133" i="2"/>
  <c r="DN133" i="2"/>
  <c r="DR129" i="2"/>
  <c r="DR133" i="2"/>
  <c r="DV129" i="2"/>
  <c r="DV133" i="2"/>
  <c r="DZ129" i="2"/>
  <c r="DZ133" i="2"/>
  <c r="DC133" i="2"/>
  <c r="DC129" i="2"/>
  <c r="Q129" i="2"/>
  <c r="Q133" i="2"/>
  <c r="AP129" i="2"/>
  <c r="AP133" i="2"/>
  <c r="AP140" i="2" s="1"/>
  <c r="CN133" i="2"/>
  <c r="CN129" i="2"/>
  <c r="CN131" i="2" s="1"/>
  <c r="AR134" i="2"/>
  <c r="AR140" i="2" s="1"/>
  <c r="AR129" i="2"/>
  <c r="BW134" i="2"/>
  <c r="CP129" i="2"/>
  <c r="CP134" i="2"/>
  <c r="CP140" i="2" s="1"/>
  <c r="DO103" i="2"/>
  <c r="O134" i="2"/>
  <c r="O140" i="2" s="1"/>
  <c r="O129" i="2"/>
  <c r="O131" i="2" s="1"/>
  <c r="DM107" i="2"/>
  <c r="AH108" i="2"/>
  <c r="BM109" i="2"/>
  <c r="BQ109" i="2"/>
  <c r="CC109" i="2"/>
  <c r="AG110" i="2"/>
  <c r="BF110" i="2" s="1"/>
  <c r="BP111" i="2"/>
  <c r="CE112" i="2"/>
  <c r="CD113" i="2"/>
  <c r="BG113" i="2" s="1"/>
  <c r="CY134" i="2"/>
  <c r="CY140" i="2" s="1"/>
  <c r="CY129" i="2"/>
  <c r="CD114" i="2"/>
  <c r="BG114" i="2" s="1"/>
  <c r="CV134" i="2"/>
  <c r="CV129" i="2"/>
  <c r="CF115" i="2"/>
  <c r="EF115" i="2" s="1"/>
  <c r="BI116" i="2"/>
  <c r="CH129" i="2"/>
  <c r="CH134" i="2"/>
  <c r="CH140" i="2" s="1"/>
  <c r="AH118" i="2"/>
  <c r="BI119" i="2"/>
  <c r="BG119" i="2" s="1"/>
  <c r="DW119" i="2"/>
  <c r="DE119" i="2" s="1"/>
  <c r="G120" i="2"/>
  <c r="EE120" i="2" s="1"/>
  <c r="AA138" i="2"/>
  <c r="DW120" i="2"/>
  <c r="AH121" i="2"/>
  <c r="CE125" i="2"/>
  <c r="BH94" i="2"/>
  <c r="BG94" i="2" s="1"/>
  <c r="DF94" i="2"/>
  <c r="DE94" i="2" s="1"/>
  <c r="CF95" i="2"/>
  <c r="EF95" i="2" s="1"/>
  <c r="CY97" i="2"/>
  <c r="R129" i="2"/>
  <c r="R133" i="2"/>
  <c r="R140" i="2" s="1"/>
  <c r="X133" i="2"/>
  <c r="X140" i="2" s="1"/>
  <c r="X129" i="2"/>
  <c r="X131" i="2" s="1"/>
  <c r="AQ133" i="2"/>
  <c r="AQ129" i="2"/>
  <c r="BJ129" i="2"/>
  <c r="BJ133" i="2"/>
  <c r="BN129" i="2"/>
  <c r="BN133" i="2"/>
  <c r="BV98" i="2"/>
  <c r="CD98" i="2"/>
  <c r="CK129" i="2"/>
  <c r="CK131" i="2" s="1"/>
  <c r="CK133" i="2"/>
  <c r="CK140" i="2" s="1"/>
  <c r="DG133" i="2"/>
  <c r="DK133" i="2"/>
  <c r="DS98" i="2"/>
  <c r="EA98" i="2"/>
  <c r="CD101" i="2"/>
  <c r="G102" i="2"/>
  <c r="BZ102" i="2"/>
  <c r="BZ129" i="2" s="1"/>
  <c r="G103" i="2"/>
  <c r="EE103" i="2" s="1"/>
  <c r="AH103" i="2"/>
  <c r="AS129" i="2"/>
  <c r="AS134" i="2"/>
  <c r="AS140" i="2" s="1"/>
  <c r="BH103" i="2"/>
  <c r="BP103" i="2"/>
  <c r="CF103" i="2"/>
  <c r="EF103" i="2" s="1"/>
  <c r="CQ134" i="2"/>
  <c r="CQ140" i="2" s="1"/>
  <c r="CQ129" i="2"/>
  <c r="DP103" i="2"/>
  <c r="EB103" i="2"/>
  <c r="G104" i="2"/>
  <c r="BP105" i="2"/>
  <c r="CF105" i="2"/>
  <c r="EF105" i="2" s="1"/>
  <c r="G106" i="2"/>
  <c r="EE106" i="2" s="1"/>
  <c r="BR109" i="2"/>
  <c r="DO113" i="2"/>
  <c r="P134" i="2"/>
  <c r="P140" i="2" s="1"/>
  <c r="P129" i="2"/>
  <c r="P131" i="2" s="1"/>
  <c r="AO129" i="2"/>
  <c r="AO131" i="2" s="1"/>
  <c r="AO134" i="2"/>
  <c r="AO140" i="2" s="1"/>
  <c r="K134" i="2"/>
  <c r="K129" i="2"/>
  <c r="BI117" i="2"/>
  <c r="BG117" i="2" s="1"/>
  <c r="I118" i="2"/>
  <c r="DE121" i="2"/>
  <c r="I123" i="2"/>
  <c r="G90" i="2"/>
  <c r="CD90" i="2"/>
  <c r="DY91" i="2"/>
  <c r="DE91" i="2" s="1"/>
  <c r="BY95" i="2"/>
  <c r="BY135" i="2" s="1"/>
  <c r="AZ97" i="2"/>
  <c r="G98" i="2"/>
  <c r="EE98" i="2" s="1"/>
  <c r="S133" i="2"/>
  <c r="S140" i="2" s="1"/>
  <c r="S129" i="2"/>
  <c r="AA133" i="2"/>
  <c r="AA129" i="2"/>
  <c r="AH98" i="2"/>
  <c r="AV133" i="2"/>
  <c r="AV140" i="2" s="1"/>
  <c r="AV129" i="2"/>
  <c r="AV131" i="2" s="1"/>
  <c r="BK133" i="2"/>
  <c r="BK129" i="2"/>
  <c r="BS133" i="2"/>
  <c r="BS129" i="2"/>
  <c r="BW133" i="2"/>
  <c r="BW129" i="2"/>
  <c r="CA133" i="2"/>
  <c r="CA129" i="2"/>
  <c r="DH133" i="2"/>
  <c r="DH129" i="2"/>
  <c r="DL133" i="2"/>
  <c r="DP133" i="2"/>
  <c r="DT133" i="2"/>
  <c r="DT129" i="2"/>
  <c r="DX133" i="2"/>
  <c r="EB133" i="2"/>
  <c r="AZ133" i="2"/>
  <c r="AZ140" i="2" s="1"/>
  <c r="AZ129" i="2"/>
  <c r="BO102" i="2"/>
  <c r="BO133" i="2" s="1"/>
  <c r="DM102" i="2"/>
  <c r="DE102" i="2" s="1"/>
  <c r="AT129" i="2"/>
  <c r="AT134" i="2"/>
  <c r="AT140" i="2" s="1"/>
  <c r="BQ103" i="2"/>
  <c r="BY103" i="2"/>
  <c r="BY134" i="2" s="1"/>
  <c r="CC103" i="2"/>
  <c r="CR134" i="2"/>
  <c r="CR140" i="2" s="1"/>
  <c r="CR129" i="2"/>
  <c r="DQ103" i="2"/>
  <c r="DQ134" i="2" s="1"/>
  <c r="EB104" i="2"/>
  <c r="G105" i="2"/>
  <c r="EE105" i="2" s="1"/>
  <c r="AH106" i="2"/>
  <c r="BO106" i="2"/>
  <c r="BO134" i="2" s="1"/>
  <c r="DM106" i="2"/>
  <c r="DE106" i="2" s="1"/>
  <c r="DK107" i="2"/>
  <c r="DM108" i="2"/>
  <c r="DE108" i="2" s="1"/>
  <c r="BR111" i="2"/>
  <c r="CD111" i="2"/>
  <c r="G113" i="2"/>
  <c r="EE113" i="2" s="1"/>
  <c r="BA129" i="2"/>
  <c r="BA134" i="2"/>
  <c r="BA140" i="2" s="1"/>
  <c r="DX113" i="2"/>
  <c r="DX129" i="2" s="1"/>
  <c r="AX129" i="2"/>
  <c r="AX134" i="2"/>
  <c r="AX140" i="2" s="1"/>
  <c r="DL114" i="2"/>
  <c r="DE114" i="2" s="1"/>
  <c r="G115" i="2"/>
  <c r="EE115" i="2" s="1"/>
  <c r="CD115" i="2"/>
  <c r="BG115" i="2" s="1"/>
  <c r="G117" i="2"/>
  <c r="EE117" i="2" s="1"/>
  <c r="DG117" i="2"/>
  <c r="BI120" i="2"/>
  <c r="BY120" i="2"/>
  <c r="CE121" i="2"/>
  <c r="AG123" i="2"/>
  <c r="BF123" i="2" s="1"/>
  <c r="BZ95" i="2"/>
  <c r="BZ97" i="2" s="1"/>
  <c r="DX95" i="2"/>
  <c r="DX97" i="2" s="1"/>
  <c r="AH96" i="2"/>
  <c r="CF96" i="2"/>
  <c r="EF96" i="2" s="1"/>
  <c r="AC97" i="2"/>
  <c r="AC131" i="2" s="1"/>
  <c r="BA97" i="2"/>
  <c r="T133" i="2"/>
  <c r="T140" i="2" s="1"/>
  <c r="T129" i="2"/>
  <c r="AB133" i="2"/>
  <c r="AB140" i="2" s="1"/>
  <c r="AB129" i="2"/>
  <c r="AI133" i="2"/>
  <c r="AI129" i="2"/>
  <c r="AW129" i="2"/>
  <c r="AW131" i="2" s="1"/>
  <c r="AW133" i="2"/>
  <c r="AW140" i="2" s="1"/>
  <c r="BH98" i="2"/>
  <c r="BL98" i="2"/>
  <c r="BP133" i="2"/>
  <c r="BT133" i="2"/>
  <c r="BT129" i="2"/>
  <c r="BX133" i="2"/>
  <c r="BX129" i="2"/>
  <c r="CB133" i="2"/>
  <c r="CB129" i="2"/>
  <c r="CF98" i="2"/>
  <c r="EF98" i="2" s="1"/>
  <c r="DI129" i="2"/>
  <c r="DI133" i="2"/>
  <c r="DQ133" i="2"/>
  <c r="DU129" i="2"/>
  <c r="DU133" i="2"/>
  <c r="DY129" i="2"/>
  <c r="DY133" i="2"/>
  <c r="AF133" i="2"/>
  <c r="AF129" i="2"/>
  <c r="BD133" i="2"/>
  <c r="BD129" i="2"/>
  <c r="CF101" i="2"/>
  <c r="EF101" i="2" s="1"/>
  <c r="AH102" i="2"/>
  <c r="CF102" i="2"/>
  <c r="EF102" i="2" s="1"/>
  <c r="AU134" i="2"/>
  <c r="AU140" i="2" s="1"/>
  <c r="AU129" i="2"/>
  <c r="AU131" i="2" s="1"/>
  <c r="BN134" i="2"/>
  <c r="BR103" i="2"/>
  <c r="BZ134" i="2"/>
  <c r="CD103" i="2"/>
  <c r="CO129" i="2"/>
  <c r="CO134" i="2"/>
  <c r="CO140" i="2" s="1"/>
  <c r="CX134" i="2"/>
  <c r="DF103" i="2"/>
  <c r="DN103" i="2"/>
  <c r="DN134" i="2" s="1"/>
  <c r="DZ134" i="2"/>
  <c r="CF106" i="2"/>
  <c r="EF106" i="2" s="1"/>
  <c r="BM107" i="2"/>
  <c r="BG107" i="2" s="1"/>
  <c r="BP109" i="2"/>
  <c r="I110" i="2"/>
  <c r="I111" i="2"/>
  <c r="CM134" i="2"/>
  <c r="CM129" i="2"/>
  <c r="CM131" i="2" s="1"/>
  <c r="AJ134" i="2"/>
  <c r="AJ129" i="2"/>
  <c r="BG121" i="2"/>
  <c r="I124" i="2"/>
  <c r="DG122" i="2"/>
  <c r="DW122" i="2"/>
  <c r="CX123" i="2"/>
  <c r="DW123" i="2" s="1"/>
  <c r="DG123" i="2"/>
  <c r="CD125" i="2"/>
  <c r="BG125" i="2" s="1"/>
  <c r="EB125" i="2"/>
  <c r="DE125" i="2" s="1"/>
  <c r="G126" i="2"/>
  <c r="CL138" i="2"/>
  <c r="CL140" i="2" s="1"/>
  <c r="CL129" i="2"/>
  <c r="CL131" i="2" s="1"/>
  <c r="DG126" i="2"/>
  <c r="DK126" i="2"/>
  <c r="DK138" i="2" s="1"/>
  <c r="G128" i="2"/>
  <c r="DG128" i="2"/>
  <c r="DE128" i="2" s="1"/>
  <c r="AN129" i="2"/>
  <c r="AN131" i="2" s="1"/>
  <c r="J140" i="2"/>
  <c r="AG127" i="2"/>
  <c r="BF127" i="2" s="1"/>
  <c r="CE127" i="2"/>
  <c r="AC140" i="2"/>
  <c r="AD140" i="2"/>
  <c r="DA140" i="2"/>
  <c r="G122" i="2"/>
  <c r="EE122" i="2" s="1"/>
  <c r="BM126" i="2"/>
  <c r="BM138" i="2" s="1"/>
  <c r="DG127" i="2"/>
  <c r="DE127" i="2" s="1"/>
  <c r="Y140" i="2"/>
  <c r="AL140" i="2"/>
  <c r="BC140" i="2"/>
  <c r="DB140" i="2"/>
  <c r="L140" i="2"/>
  <c r="AN140" i="2"/>
  <c r="CE10" i="1"/>
  <c r="DD10" i="1" s="1"/>
  <c r="EF10" i="1"/>
  <c r="BG11" i="1"/>
  <c r="EE11" i="1" s="1"/>
  <c r="I14" i="1"/>
  <c r="EF19" i="1"/>
  <c r="CE19" i="1"/>
  <c r="DD19" i="1" s="1"/>
  <c r="ED20" i="1"/>
  <c r="I20" i="1"/>
  <c r="EE22" i="1"/>
  <c r="AG23" i="1"/>
  <c r="BF23" i="1" s="1"/>
  <c r="DW7" i="1"/>
  <c r="DE7" i="1" s="1"/>
  <c r="CF7" i="1"/>
  <c r="ED14" i="1"/>
  <c r="CE14" i="1"/>
  <c r="DD14" i="1" s="1"/>
  <c r="AG19" i="1"/>
  <c r="BF19" i="1" s="1"/>
  <c r="EF21" i="1"/>
  <c r="AG14" i="1"/>
  <c r="BF14" i="1" s="1"/>
  <c r="ED9" i="1"/>
  <c r="CE9" i="1"/>
  <c r="DD9" i="1" s="1"/>
  <c r="AG9" i="1"/>
  <c r="BF9" i="1" s="1"/>
  <c r="BG15" i="1"/>
  <c r="BG16" i="1"/>
  <c r="BG18" i="1"/>
  <c r="EE18" i="1" s="1"/>
  <c r="CE20" i="1"/>
  <c r="DD20" i="1" s="1"/>
  <c r="BG21" i="1"/>
  <c r="EE21" i="1" s="1"/>
  <c r="AG8" i="1"/>
  <c r="BF8" i="1" s="1"/>
  <c r="EF8" i="1"/>
  <c r="CD9" i="1"/>
  <c r="BG9" i="1" s="1"/>
  <c r="EE9" i="1" s="1"/>
  <c r="EB9" i="1"/>
  <c r="DE9" i="1" s="1"/>
  <c r="EF9" i="1" s="1"/>
  <c r="CC10" i="1"/>
  <c r="BG10" i="1" s="1"/>
  <c r="EA11" i="1"/>
  <c r="DE11" i="1" s="1"/>
  <c r="BJ138" i="1"/>
  <c r="BV138" i="1"/>
  <c r="CX138" i="1"/>
  <c r="AJ138" i="1"/>
  <c r="BK138" i="1"/>
  <c r="BO138" i="1"/>
  <c r="BW138" i="1"/>
  <c r="CA138" i="1"/>
  <c r="DG6" i="1"/>
  <c r="DK24" i="1"/>
  <c r="DO138" i="1"/>
  <c r="DO24" i="1"/>
  <c r="DS138" i="1"/>
  <c r="DS24" i="1"/>
  <c r="DW6" i="1"/>
  <c r="EA138" i="1"/>
  <c r="EA24" i="1"/>
  <c r="BI7" i="1"/>
  <c r="BG7" i="1" s="1"/>
  <c r="EE7" i="1" s="1"/>
  <c r="CF11" i="1"/>
  <c r="DI136" i="1"/>
  <c r="DM136" i="1"/>
  <c r="DU136" i="1"/>
  <c r="DY136" i="1"/>
  <c r="CD13" i="1"/>
  <c r="CD136" i="1" s="1"/>
  <c r="BS14" i="1"/>
  <c r="BG14" i="1" s="1"/>
  <c r="EE14" i="1" s="1"/>
  <c r="AJ136" i="1"/>
  <c r="DG15" i="1"/>
  <c r="DE15" i="1" s="1"/>
  <c r="CD17" i="1"/>
  <c r="EB18" i="1"/>
  <c r="DE18" i="1" s="1"/>
  <c r="EF18" i="1" s="1"/>
  <c r="BS19" i="1"/>
  <c r="BG19" i="1" s="1"/>
  <c r="EE19" i="1" s="1"/>
  <c r="AH20" i="1"/>
  <c r="DG22" i="1"/>
  <c r="DE22" i="1" s="1"/>
  <c r="EF22" i="1" s="1"/>
  <c r="CF23" i="1"/>
  <c r="U24" i="1"/>
  <c r="U131" i="1" s="1"/>
  <c r="BE24" i="1"/>
  <c r="BQ24" i="1"/>
  <c r="BU24" i="1"/>
  <c r="BY24" i="1"/>
  <c r="CC24" i="1"/>
  <c r="DI24" i="1"/>
  <c r="DN24" i="1"/>
  <c r="DY24" i="1"/>
  <c r="DI50" i="1"/>
  <c r="DR137" i="1"/>
  <c r="DR50" i="1"/>
  <c r="DV137" i="1"/>
  <c r="DV50" i="1"/>
  <c r="EE26" i="1"/>
  <c r="AG26" i="1"/>
  <c r="BF26" i="1" s="1"/>
  <c r="I30" i="1"/>
  <c r="DE32" i="1"/>
  <c r="CE34" i="1"/>
  <c r="DD34" i="1" s="1"/>
  <c r="AH36" i="1"/>
  <c r="BO36" i="1"/>
  <c r="DM37" i="1"/>
  <c r="G37" i="1"/>
  <c r="ED37" i="1" s="1"/>
  <c r="DE37" i="1"/>
  <c r="EF37" i="1" s="1"/>
  <c r="EB38" i="1"/>
  <c r="AG39" i="1"/>
  <c r="BF39" i="1" s="1"/>
  <c r="BZ39" i="1"/>
  <c r="BG39" i="1" s="1"/>
  <c r="EE39" i="1" s="1"/>
  <c r="AG40" i="1"/>
  <c r="BF40" i="1" s="1"/>
  <c r="CE40" i="1"/>
  <c r="DD40" i="1" s="1"/>
  <c r="EF40" i="1"/>
  <c r="CE41" i="1"/>
  <c r="DD41" i="1" s="1"/>
  <c r="EF41" i="1"/>
  <c r="CE42" i="1"/>
  <c r="DD42" i="1" s="1"/>
  <c r="DM43" i="1"/>
  <c r="G43" i="1"/>
  <c r="ED43" i="1" s="1"/>
  <c r="EF44" i="1"/>
  <c r="AH46" i="1"/>
  <c r="CV46" i="1"/>
  <c r="DU46" i="1" s="1"/>
  <c r="AG48" i="1"/>
  <c r="BF48" i="1" s="1"/>
  <c r="AH6" i="1"/>
  <c r="G6" i="1"/>
  <c r="AF138" i="1"/>
  <c r="BH138" i="1"/>
  <c r="BL138" i="1"/>
  <c r="BP138" i="1"/>
  <c r="BT138" i="1"/>
  <c r="BX138" i="1"/>
  <c r="CB138" i="1"/>
  <c r="CF6" i="1"/>
  <c r="DH138" i="1"/>
  <c r="DL138" i="1"/>
  <c r="DP138" i="1"/>
  <c r="DT138" i="1"/>
  <c r="DX138" i="1"/>
  <c r="EB6" i="1"/>
  <c r="G7" i="1"/>
  <c r="ED7" i="1" s="1"/>
  <c r="BG12" i="1"/>
  <c r="EE12" i="1" s="1"/>
  <c r="CE12" i="1"/>
  <c r="DD12" i="1" s="1"/>
  <c r="DF136" i="1"/>
  <c r="DJ136" i="1"/>
  <c r="DN136" i="1"/>
  <c r="DR136" i="1"/>
  <c r="DV136" i="1"/>
  <c r="DZ136" i="1"/>
  <c r="AH13" i="1"/>
  <c r="BS13" i="1"/>
  <c r="BG13" i="1" s="1"/>
  <c r="EB13" i="1"/>
  <c r="CF15" i="1"/>
  <c r="AH16" i="1"/>
  <c r="CF16" i="1"/>
  <c r="I17" i="1"/>
  <c r="AH17" i="1"/>
  <c r="BS17" i="1"/>
  <c r="BG17" i="1" s="1"/>
  <c r="ED18" i="1"/>
  <c r="EB20" i="1"/>
  <c r="DE20" i="1" s="1"/>
  <c r="EF20" i="1" s="1"/>
  <c r="AG21" i="1"/>
  <c r="BF21" i="1" s="1"/>
  <c r="CE21" i="1"/>
  <c r="DD21" i="1" s="1"/>
  <c r="AL24" i="1"/>
  <c r="AL131" i="1" s="1"/>
  <c r="AT24" i="1"/>
  <c r="BJ24" i="1"/>
  <c r="BV24" i="1"/>
  <c r="CH24" i="1"/>
  <c r="CX24" i="1"/>
  <c r="DB24" i="1"/>
  <c r="DB131" i="1" s="1"/>
  <c r="DF24" i="1"/>
  <c r="DJ24" i="1"/>
  <c r="DP24" i="1"/>
  <c r="DU24" i="1"/>
  <c r="DZ24" i="1"/>
  <c r="ED25" i="1"/>
  <c r="AF137" i="1"/>
  <c r="EB25" i="1"/>
  <c r="AF50" i="1"/>
  <c r="BJ137" i="1"/>
  <c r="BJ50" i="1"/>
  <c r="BN137" i="1"/>
  <c r="BN50" i="1"/>
  <c r="BV137" i="1"/>
  <c r="BV50" i="1"/>
  <c r="CD25" i="1"/>
  <c r="DF137" i="1"/>
  <c r="DF50" i="1"/>
  <c r="DJ137" i="1"/>
  <c r="DJ50" i="1"/>
  <c r="BO27" i="1"/>
  <c r="G27" i="1"/>
  <c r="ED27" i="1" s="1"/>
  <c r="EB27" i="1"/>
  <c r="CD27" i="1"/>
  <c r="DM27" i="1"/>
  <c r="BO29" i="1"/>
  <c r="BG29" i="1" s="1"/>
  <c r="AH29" i="1"/>
  <c r="CE29" i="1"/>
  <c r="DD29" i="1" s="1"/>
  <c r="AB137" i="1"/>
  <c r="BZ31" i="1"/>
  <c r="BG31" i="1" s="1"/>
  <c r="EE31" i="1" s="1"/>
  <c r="DX31" i="1"/>
  <c r="DE31" i="1" s="1"/>
  <c r="EF31" i="1" s="1"/>
  <c r="AB50" i="1"/>
  <c r="DM33" i="1"/>
  <c r="DE33" i="1" s="1"/>
  <c r="CF33" i="1"/>
  <c r="EB35" i="1"/>
  <c r="DE35" i="1" s="1"/>
  <c r="EF35" i="1" s="1"/>
  <c r="CD35" i="1"/>
  <c r="BO37" i="1"/>
  <c r="BG37" i="1" s="1"/>
  <c r="EE37" i="1" s="1"/>
  <c r="DN38" i="1"/>
  <c r="BP38" i="1"/>
  <c r="CE39" i="1"/>
  <c r="DD39" i="1" s="1"/>
  <c r="DX39" i="1"/>
  <c r="DX137" i="1" s="1"/>
  <c r="BO41" i="1"/>
  <c r="AH41" i="1"/>
  <c r="BO43" i="1"/>
  <c r="I46" i="1"/>
  <c r="AX137" i="1"/>
  <c r="AX50" i="1"/>
  <c r="BG48" i="1"/>
  <c r="EE48" i="1" s="1"/>
  <c r="EE51" i="1"/>
  <c r="DQ13" i="1"/>
  <c r="DQ17" i="1"/>
  <c r="DE17" i="1" s="1"/>
  <c r="EF17" i="1" s="1"/>
  <c r="AG18" i="1"/>
  <c r="BF18" i="1" s="1"/>
  <c r="CD20" i="1"/>
  <c r="BG20" i="1" s="1"/>
  <c r="K24" i="1"/>
  <c r="BK24" i="1"/>
  <c r="BO24" i="1"/>
  <c r="BW24" i="1"/>
  <c r="CA24" i="1"/>
  <c r="DC24" i="1"/>
  <c r="DL24" i="1"/>
  <c r="DV24" i="1"/>
  <c r="BK137" i="1"/>
  <c r="BK50" i="1"/>
  <c r="CE25" i="1"/>
  <c r="CP137" i="1"/>
  <c r="CF27" i="1"/>
  <c r="CP50" i="1"/>
  <c r="DE28" i="1"/>
  <c r="EF28" i="1" s="1"/>
  <c r="AG30" i="1"/>
  <c r="BF30" i="1" s="1"/>
  <c r="EE30" i="1"/>
  <c r="ED31" i="1"/>
  <c r="I31" i="1"/>
  <c r="AG31" i="1"/>
  <c r="BF31" i="1" s="1"/>
  <c r="CE31" i="1"/>
  <c r="DD31" i="1" s="1"/>
  <c r="EF32" i="1"/>
  <c r="ED33" i="1"/>
  <c r="I33" i="1"/>
  <c r="BG33" i="1"/>
  <c r="BG36" i="1"/>
  <c r="AG37" i="1"/>
  <c r="BF37" i="1" s="1"/>
  <c r="ED38" i="1"/>
  <c r="I38" i="1"/>
  <c r="CO137" i="1"/>
  <c r="CF38" i="1"/>
  <c r="CO50" i="1"/>
  <c r="AG45" i="1"/>
  <c r="BF45" i="1" s="1"/>
  <c r="EE45" i="1"/>
  <c r="I6" i="1"/>
  <c r="BN138" i="1"/>
  <c r="BR138" i="1"/>
  <c r="BZ138" i="1"/>
  <c r="CD6" i="1"/>
  <c r="AH10" i="1"/>
  <c r="EB136" i="1"/>
  <c r="G13" i="1"/>
  <c r="ED13" i="1" s="1"/>
  <c r="BE136" i="1"/>
  <c r="AH15" i="1"/>
  <c r="G22" i="1"/>
  <c r="BS23" i="1"/>
  <c r="BG23" i="1" s="1"/>
  <c r="EE23" i="1" s="1"/>
  <c r="H24" i="1"/>
  <c r="AF24" i="1"/>
  <c r="AJ24" i="1"/>
  <c r="AZ24" i="1"/>
  <c r="BD24" i="1"/>
  <c r="BH24" i="1"/>
  <c r="BL24" i="1"/>
  <c r="BP24" i="1"/>
  <c r="BT24" i="1"/>
  <c r="BX24" i="1"/>
  <c r="CB24" i="1"/>
  <c r="CR24" i="1"/>
  <c r="DH24" i="1"/>
  <c r="DM24" i="1"/>
  <c r="DR24" i="1"/>
  <c r="DX24" i="1"/>
  <c r="I25" i="1"/>
  <c r="BH137" i="1"/>
  <c r="BH50" i="1"/>
  <c r="BL137" i="1"/>
  <c r="BL50" i="1"/>
  <c r="BT137" i="1"/>
  <c r="BT50" i="1"/>
  <c r="BX137" i="1"/>
  <c r="BX50" i="1"/>
  <c r="DH137" i="1"/>
  <c r="DH50" i="1"/>
  <c r="DL137" i="1"/>
  <c r="DL50" i="1"/>
  <c r="DQ50" i="1"/>
  <c r="DY50" i="1"/>
  <c r="AQ137" i="1"/>
  <c r="AQ50" i="1"/>
  <c r="AH27" i="1"/>
  <c r="BE137" i="1"/>
  <c r="BE50" i="1"/>
  <c r="AG32" i="1"/>
  <c r="BF32" i="1" s="1"/>
  <c r="DM34" i="1"/>
  <c r="DE34" i="1" s="1"/>
  <c r="EF34" i="1" s="1"/>
  <c r="CF36" i="1"/>
  <c r="DM36" i="1"/>
  <c r="DE36" i="1" s="1"/>
  <c r="I40" i="1"/>
  <c r="I43" i="1"/>
  <c r="DA137" i="1"/>
  <c r="DA50" i="1"/>
  <c r="DA131" i="1" s="1"/>
  <c r="EF45" i="1"/>
  <c r="Y137" i="1"/>
  <c r="Y140" i="1" s="1"/>
  <c r="BW46" i="1"/>
  <c r="BG46" i="1" s="1"/>
  <c r="Y50" i="1"/>
  <c r="Y131" i="1" s="1"/>
  <c r="CE48" i="1"/>
  <c r="DD48" i="1" s="1"/>
  <c r="AH47" i="1"/>
  <c r="BZ47" i="1"/>
  <c r="DG48" i="1"/>
  <c r="CD49" i="1"/>
  <c r="BG49" i="1" s="1"/>
  <c r="EE49" i="1" s="1"/>
  <c r="DM49" i="1"/>
  <c r="DE49" i="1" s="1"/>
  <c r="T50" i="1"/>
  <c r="AJ50" i="1"/>
  <c r="G51" i="1"/>
  <c r="CE51" i="1" s="1"/>
  <c r="DD51" i="1" s="1"/>
  <c r="BJ139" i="1"/>
  <c r="BJ77" i="1"/>
  <c r="BN139" i="1"/>
  <c r="BN77" i="1"/>
  <c r="BR139" i="1"/>
  <c r="BR77" i="1"/>
  <c r="BV139" i="1"/>
  <c r="BV77" i="1"/>
  <c r="DH139" i="1"/>
  <c r="DH77" i="1"/>
  <c r="DE59" i="1"/>
  <c r="CE62" i="1"/>
  <c r="DD62" i="1" s="1"/>
  <c r="AG63" i="1"/>
  <c r="BF63" i="1" s="1"/>
  <c r="EF73" i="1"/>
  <c r="I75" i="1"/>
  <c r="ED75" i="1"/>
  <c r="EF76" i="1"/>
  <c r="BG80" i="1"/>
  <c r="DE80" i="1"/>
  <c r="EE81" i="1"/>
  <c r="EF81" i="1"/>
  <c r="BG86" i="1"/>
  <c r="EE86" i="1" s="1"/>
  <c r="DE86" i="1"/>
  <c r="EF86" i="1" s="1"/>
  <c r="I89" i="1"/>
  <c r="ED89" i="1"/>
  <c r="Q137" i="1"/>
  <c r="AP137" i="1"/>
  <c r="BI137" i="1"/>
  <c r="BM137" i="1"/>
  <c r="BQ137" i="1"/>
  <c r="BU137" i="1"/>
  <c r="BY137" i="1"/>
  <c r="CC137" i="1"/>
  <c r="CN137" i="1"/>
  <c r="DK137" i="1"/>
  <c r="DS137" i="1"/>
  <c r="DW137" i="1"/>
  <c r="EA137" i="1"/>
  <c r="EB26" i="1"/>
  <c r="DE26" i="1" s="1"/>
  <c r="EF26" i="1" s="1"/>
  <c r="R137" i="1"/>
  <c r="AR137" i="1"/>
  <c r="BR27" i="1"/>
  <c r="BR137" i="1" s="1"/>
  <c r="BZ27" i="1"/>
  <c r="CY137" i="1"/>
  <c r="DN27" i="1"/>
  <c r="DN137" i="1" s="1"/>
  <c r="DM30" i="1"/>
  <c r="DE30" i="1" s="1"/>
  <c r="EF30" i="1" s="1"/>
  <c r="ED32" i="1"/>
  <c r="AH33" i="1"/>
  <c r="AH34" i="1"/>
  <c r="BZ34" i="1"/>
  <c r="CD34" i="1"/>
  <c r="BO38" i="1"/>
  <c r="BG38" i="1" s="1"/>
  <c r="EE38" i="1" s="1"/>
  <c r="DP38" i="1"/>
  <c r="DE38" i="1" s="1"/>
  <c r="BO42" i="1"/>
  <c r="BG42" i="1" s="1"/>
  <c r="EE42" i="1" s="1"/>
  <c r="CB43" i="1"/>
  <c r="CB50" i="1" s="1"/>
  <c r="CF43" i="1"/>
  <c r="BO47" i="1"/>
  <c r="BG47" i="1" s="1"/>
  <c r="CE47" i="1"/>
  <c r="DD47" i="1" s="1"/>
  <c r="DG47" i="1"/>
  <c r="DE47" i="1" s="1"/>
  <c r="EF47" i="1" s="1"/>
  <c r="EB48" i="1"/>
  <c r="Q50" i="1"/>
  <c r="AS50" i="1"/>
  <c r="BA50" i="1"/>
  <c r="BI50" i="1"/>
  <c r="BM50" i="1"/>
  <c r="BQ50" i="1"/>
  <c r="BU50" i="1"/>
  <c r="BY50" i="1"/>
  <c r="CC50" i="1"/>
  <c r="BK139" i="1"/>
  <c r="BK77" i="1"/>
  <c r="BO139" i="1"/>
  <c r="BO77" i="1"/>
  <c r="BS139" i="1"/>
  <c r="BS77" i="1"/>
  <c r="BW139" i="1"/>
  <c r="BW77" i="1"/>
  <c r="CA139" i="1"/>
  <c r="CA77" i="1"/>
  <c r="DI139" i="1"/>
  <c r="DI77" i="1"/>
  <c r="AG65" i="1"/>
  <c r="BF65" i="1" s="1"/>
  <c r="BG74" i="1"/>
  <c r="EE74" i="1" s="1"/>
  <c r="DE74" i="1"/>
  <c r="DV135" i="1"/>
  <c r="DV97" i="1"/>
  <c r="CE85" i="1"/>
  <c r="DD85" i="1" s="1"/>
  <c r="DT137" i="1"/>
  <c r="DC137" i="1"/>
  <c r="DO27" i="1"/>
  <c r="DO137" i="1" s="1"/>
  <c r="BO35" i="1"/>
  <c r="BG35" i="1" s="1"/>
  <c r="EE35" i="1" s="1"/>
  <c r="BZ41" i="1"/>
  <c r="DM42" i="1"/>
  <c r="DE42" i="1" s="1"/>
  <c r="EF42" i="1" s="1"/>
  <c r="DM46" i="1"/>
  <c r="DM48" i="1"/>
  <c r="CF49" i="1"/>
  <c r="R50" i="1"/>
  <c r="AD50" i="1"/>
  <c r="AD131" i="1" s="1"/>
  <c r="AP50" i="1"/>
  <c r="CH50" i="1"/>
  <c r="AJ139" i="1"/>
  <c r="AJ77" i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J139" i="1"/>
  <c r="DJ77" i="1"/>
  <c r="DN139" i="1"/>
  <c r="DN77" i="1"/>
  <c r="DE54" i="1"/>
  <c r="DE56" i="1"/>
  <c r="EF56" i="1" s="1"/>
  <c r="EF57" i="1"/>
  <c r="I65" i="1"/>
  <c r="BG67" i="1"/>
  <c r="EE67" i="1" s="1"/>
  <c r="CF68" i="1"/>
  <c r="DW68" i="1"/>
  <c r="DE68" i="1" s="1"/>
  <c r="AG69" i="1"/>
  <c r="BF69" i="1" s="1"/>
  <c r="AG71" i="1"/>
  <c r="BF71" i="1" s="1"/>
  <c r="BG73" i="1"/>
  <c r="AG85" i="1"/>
  <c r="BF85" i="1" s="1"/>
  <c r="BS137" i="1"/>
  <c r="BW137" i="1"/>
  <c r="CA137" i="1"/>
  <c r="DI137" i="1"/>
  <c r="DM25" i="1"/>
  <c r="DE25" i="1" s="1"/>
  <c r="DQ137" i="1"/>
  <c r="DY137" i="1"/>
  <c r="BP27" i="1"/>
  <c r="DP27" i="1"/>
  <c r="G28" i="1"/>
  <c r="ED28" i="1" s="1"/>
  <c r="BO28" i="1"/>
  <c r="G35" i="1"/>
  <c r="ED35" i="1" s="1"/>
  <c r="DZ43" i="1"/>
  <c r="DZ137" i="1" s="1"/>
  <c r="K50" i="1"/>
  <c r="S50" i="1"/>
  <c r="BC50" i="1"/>
  <c r="BC131" i="1" s="1"/>
  <c r="BS50" i="1"/>
  <c r="CA50" i="1"/>
  <c r="CQ50" i="1"/>
  <c r="CY50" i="1"/>
  <c r="DC50" i="1"/>
  <c r="DK50" i="1"/>
  <c r="DS50" i="1"/>
  <c r="DW50" i="1"/>
  <c r="EA50" i="1"/>
  <c r="AF139" i="1"/>
  <c r="EB51" i="1"/>
  <c r="AF77" i="1"/>
  <c r="BE139" i="1"/>
  <c r="BE77" i="1"/>
  <c r="BM139" i="1"/>
  <c r="BM77" i="1"/>
  <c r="BQ139" i="1"/>
  <c r="BQ77" i="1"/>
  <c r="BU139" i="1"/>
  <c r="BU77" i="1"/>
  <c r="CC139" i="1"/>
  <c r="CC77" i="1"/>
  <c r="CH139" i="1"/>
  <c r="CH77" i="1"/>
  <c r="DG51" i="1"/>
  <c r="DF139" i="1"/>
  <c r="DF77" i="1"/>
  <c r="AG55" i="1"/>
  <c r="BF55" i="1" s="1"/>
  <c r="CE55" i="1"/>
  <c r="DD55" i="1" s="1"/>
  <c r="CE58" i="1"/>
  <c r="DD58" i="1" s="1"/>
  <c r="AG59" i="1"/>
  <c r="BF59" i="1" s="1"/>
  <c r="BG84" i="1"/>
  <c r="AG88" i="1"/>
  <c r="BF88" i="1" s="1"/>
  <c r="EA139" i="1"/>
  <c r="K139" i="1"/>
  <c r="G53" i="1"/>
  <c r="I53" i="1" s="1"/>
  <c r="DG53" i="1"/>
  <c r="DE53" i="1" s="1"/>
  <c r="EF53" i="1" s="1"/>
  <c r="CF54" i="1"/>
  <c r="G56" i="1"/>
  <c r="ED56" i="1" s="1"/>
  <c r="AG56" i="1"/>
  <c r="BF56" i="1" s="1"/>
  <c r="ED57" i="1"/>
  <c r="AG58" i="1"/>
  <c r="BF58" i="1" s="1"/>
  <c r="DW58" i="1"/>
  <c r="DE58" i="1" s="1"/>
  <c r="EF58" i="1" s="1"/>
  <c r="CF59" i="1"/>
  <c r="ED59" i="1"/>
  <c r="AH60" i="1"/>
  <c r="CF60" i="1"/>
  <c r="BI61" i="1"/>
  <c r="BG61" i="1" s="1"/>
  <c r="EE61" i="1" s="1"/>
  <c r="DG61" i="1"/>
  <c r="DE61" i="1" s="1"/>
  <c r="EF61" i="1" s="1"/>
  <c r="AG62" i="1"/>
  <c r="BF62" i="1" s="1"/>
  <c r="DG62" i="1"/>
  <c r="DE62" i="1" s="1"/>
  <c r="EF62" i="1" s="1"/>
  <c r="DX63" i="1"/>
  <c r="DX139" i="1" s="1"/>
  <c r="G65" i="1"/>
  <c r="ED65" i="1" s="1"/>
  <c r="CD65" i="1"/>
  <c r="AH66" i="1"/>
  <c r="G68" i="1"/>
  <c r="ED68" i="1" s="1"/>
  <c r="BI68" i="1"/>
  <c r="BG68" i="1" s="1"/>
  <c r="EE68" i="1" s="1"/>
  <c r="BI69" i="1"/>
  <c r="BG69" i="1" s="1"/>
  <c r="EE69" i="1" s="1"/>
  <c r="EF74" i="1"/>
  <c r="G76" i="1"/>
  <c r="ED76" i="1" s="1"/>
  <c r="AB77" i="1"/>
  <c r="BA77" i="1"/>
  <c r="DR77" i="1"/>
  <c r="DV77" i="1"/>
  <c r="DZ77" i="1"/>
  <c r="I78" i="1"/>
  <c r="BN135" i="1"/>
  <c r="BN97" i="1"/>
  <c r="BR135" i="1"/>
  <c r="BR97" i="1"/>
  <c r="BV135" i="1"/>
  <c r="BV97" i="1"/>
  <c r="DH135" i="1"/>
  <c r="DH97" i="1"/>
  <c r="DL135" i="1"/>
  <c r="DL97" i="1"/>
  <c r="DP135" i="1"/>
  <c r="DP97" i="1"/>
  <c r="DT135" i="1"/>
  <c r="DT97" i="1"/>
  <c r="BE135" i="1"/>
  <c r="BE97" i="1"/>
  <c r="CD87" i="1"/>
  <c r="BG87" i="1" s="1"/>
  <c r="DE87" i="1"/>
  <c r="EF87" i="1" s="1"/>
  <c r="CA88" i="1"/>
  <c r="BG88" i="1" s="1"/>
  <c r="EE88" i="1" s="1"/>
  <c r="DE88" i="1"/>
  <c r="EF88" i="1" s="1"/>
  <c r="BR133" i="1"/>
  <c r="DE109" i="1"/>
  <c r="DE111" i="1"/>
  <c r="EF111" i="1" s="1"/>
  <c r="AG116" i="1"/>
  <c r="BF116" i="1" s="1"/>
  <c r="I55" i="1"/>
  <c r="I57" i="1"/>
  <c r="EE57" i="1"/>
  <c r="I58" i="1"/>
  <c r="BY59" i="1"/>
  <c r="BG59" i="1" s="1"/>
  <c r="EE59" i="1" s="1"/>
  <c r="BZ63" i="1"/>
  <c r="BG63" i="1" s="1"/>
  <c r="EE63" i="1" s="1"/>
  <c r="ED63" i="1"/>
  <c r="CX69" i="1"/>
  <c r="BY70" i="1"/>
  <c r="BG70" i="1" s="1"/>
  <c r="EE70" i="1" s="1"/>
  <c r="CD71" i="1"/>
  <c r="BG71" i="1" s="1"/>
  <c r="EE71" i="1" s="1"/>
  <c r="CE73" i="1"/>
  <c r="DD73" i="1" s="1"/>
  <c r="AX77" i="1"/>
  <c r="CY77" i="1"/>
  <c r="DK77" i="1"/>
  <c r="DO77" i="1"/>
  <c r="DS77" i="1"/>
  <c r="EA77" i="1"/>
  <c r="BK135" i="1"/>
  <c r="BK97" i="1"/>
  <c r="BO135" i="1"/>
  <c r="BO97" i="1"/>
  <c r="BS135" i="1"/>
  <c r="BS97" i="1"/>
  <c r="BW135" i="1"/>
  <c r="BW97" i="1"/>
  <c r="DI135" i="1"/>
  <c r="DI97" i="1"/>
  <c r="DM135" i="1"/>
  <c r="DM97" i="1"/>
  <c r="DQ135" i="1"/>
  <c r="DQ97" i="1"/>
  <c r="DU135" i="1"/>
  <c r="DU97" i="1"/>
  <c r="G87" i="1"/>
  <c r="CE87" i="1" s="1"/>
  <c r="DD87" i="1" s="1"/>
  <c r="AH89" i="1"/>
  <c r="BH89" i="1"/>
  <c r="EB90" i="1"/>
  <c r="DE90" i="1" s="1"/>
  <c r="EF90" i="1" s="1"/>
  <c r="CD90" i="1"/>
  <c r="BG90" i="1" s="1"/>
  <c r="EE90" i="1" s="1"/>
  <c r="G90" i="1"/>
  <c r="CA90" i="1"/>
  <c r="EF92" i="1"/>
  <c r="I94" i="1"/>
  <c r="DE96" i="1"/>
  <c r="EF100" i="1"/>
  <c r="CE117" i="1"/>
  <c r="DD117" i="1" s="1"/>
  <c r="AH52" i="1"/>
  <c r="CF52" i="1"/>
  <c r="BY55" i="1"/>
  <c r="BG55" i="1" s="1"/>
  <c r="BI56" i="1"/>
  <c r="AG61" i="1"/>
  <c r="BF61" i="1" s="1"/>
  <c r="ED62" i="1"/>
  <c r="CE64" i="1"/>
  <c r="DD64" i="1" s="1"/>
  <c r="CX70" i="1"/>
  <c r="CF70" i="1" s="1"/>
  <c r="DC71" i="1"/>
  <c r="CF71" i="1" s="1"/>
  <c r="AH73" i="1"/>
  <c r="AG74" i="1"/>
  <c r="BF74" i="1" s="1"/>
  <c r="AH75" i="1"/>
  <c r="CF75" i="1"/>
  <c r="BI76" i="1"/>
  <c r="BG76" i="1" s="1"/>
  <c r="EE76" i="1" s="1"/>
  <c r="CV77" i="1"/>
  <c r="DL77" i="1"/>
  <c r="DP77" i="1"/>
  <c r="DT77" i="1"/>
  <c r="AH78" i="1"/>
  <c r="BL135" i="1"/>
  <c r="BL97" i="1"/>
  <c r="BP135" i="1"/>
  <c r="BP97" i="1"/>
  <c r="BT135" i="1"/>
  <c r="BT97" i="1"/>
  <c r="CB135" i="1"/>
  <c r="CB97" i="1"/>
  <c r="CF78" i="1"/>
  <c r="DJ135" i="1"/>
  <c r="DJ97" i="1"/>
  <c r="DN135" i="1"/>
  <c r="DN97" i="1"/>
  <c r="DR135" i="1"/>
  <c r="DR97" i="1"/>
  <c r="DZ135" i="1"/>
  <c r="DZ97" i="1"/>
  <c r="AH80" i="1"/>
  <c r="CF80" i="1"/>
  <c r="CE81" i="1"/>
  <c r="DD81" i="1" s="1"/>
  <c r="CE82" i="1"/>
  <c r="DD82" i="1" s="1"/>
  <c r="AH84" i="1"/>
  <c r="CF84" i="1"/>
  <c r="BB135" i="1"/>
  <c r="BB140" i="1" s="1"/>
  <c r="BB97" i="1"/>
  <c r="BB131" i="1" s="1"/>
  <c r="CZ135" i="1"/>
  <c r="CZ140" i="1" s="1"/>
  <c r="CZ97" i="1"/>
  <c r="CZ131" i="1" s="1"/>
  <c r="AG86" i="1"/>
  <c r="BF86" i="1" s="1"/>
  <c r="AH87" i="1"/>
  <c r="DC135" i="1"/>
  <c r="DC97" i="1"/>
  <c r="AK135" i="1"/>
  <c r="AK97" i="1"/>
  <c r="AK131" i="1" s="1"/>
  <c r="BJ89" i="1"/>
  <c r="BJ97" i="1" s="1"/>
  <c r="CE89" i="1"/>
  <c r="DD89" i="1" s="1"/>
  <c r="DE93" i="1"/>
  <c r="BG96" i="1"/>
  <c r="DE101" i="1"/>
  <c r="DE105" i="1"/>
  <c r="AG109" i="1"/>
  <c r="BF109" i="1" s="1"/>
  <c r="CE109" i="1"/>
  <c r="DD109" i="1" s="1"/>
  <c r="EF109" i="1"/>
  <c r="AG111" i="1"/>
  <c r="BF111" i="1" s="1"/>
  <c r="DW55" i="1"/>
  <c r="BY58" i="1"/>
  <c r="BG58" i="1" s="1"/>
  <c r="EE58" i="1" s="1"/>
  <c r="CF63" i="1"/>
  <c r="BI65" i="1"/>
  <c r="AG72" i="1"/>
  <c r="BF72" i="1" s="1"/>
  <c r="CE72" i="1"/>
  <c r="DD72" i="1" s="1"/>
  <c r="K77" i="1"/>
  <c r="AA77" i="1"/>
  <c r="AZ77" i="1"/>
  <c r="DM77" i="1"/>
  <c r="DQ77" i="1"/>
  <c r="DU77" i="1"/>
  <c r="DY77" i="1"/>
  <c r="AY135" i="1"/>
  <c r="AY140" i="1" s="1"/>
  <c r="AY97" i="1"/>
  <c r="AY131" i="1" s="1"/>
  <c r="BI135" i="1"/>
  <c r="BI97" i="1"/>
  <c r="BM135" i="1"/>
  <c r="BM97" i="1"/>
  <c r="BQ135" i="1"/>
  <c r="BQ97" i="1"/>
  <c r="BU135" i="1"/>
  <c r="BU97" i="1"/>
  <c r="CC135" i="1"/>
  <c r="CC97" i="1"/>
  <c r="CW135" i="1"/>
  <c r="CW97" i="1"/>
  <c r="CW131" i="1" s="1"/>
  <c r="DG135" i="1"/>
  <c r="DG97" i="1"/>
  <c r="DK135" i="1"/>
  <c r="DK97" i="1"/>
  <c r="DO135" i="1"/>
  <c r="DO97" i="1"/>
  <c r="DS135" i="1"/>
  <c r="DS97" i="1"/>
  <c r="EA135" i="1"/>
  <c r="EA97" i="1"/>
  <c r="AF135" i="1"/>
  <c r="AF97" i="1"/>
  <c r="CD85" i="1"/>
  <c r="EB85" i="1"/>
  <c r="AI135" i="1"/>
  <c r="AI97" i="1"/>
  <c r="EB89" i="1"/>
  <c r="CD89" i="1"/>
  <c r="BX93" i="1"/>
  <c r="BX135" i="1" s="1"/>
  <c r="AH93" i="1"/>
  <c r="AG95" i="1"/>
  <c r="BF95" i="1" s="1"/>
  <c r="DO133" i="1"/>
  <c r="DW133" i="1"/>
  <c r="AG101" i="1"/>
  <c r="BF101" i="1" s="1"/>
  <c r="I102" i="1"/>
  <c r="CE111" i="1"/>
  <c r="DD111" i="1" s="1"/>
  <c r="EE112" i="1"/>
  <c r="EF112" i="1"/>
  <c r="DE115" i="1"/>
  <c r="J97" i="1"/>
  <c r="J131" i="1" s="1"/>
  <c r="J141" i="1" s="1"/>
  <c r="W133" i="1"/>
  <c r="W140" i="1" s="1"/>
  <c r="W129" i="1"/>
  <c r="W131" i="1" s="1"/>
  <c r="AE133" i="1"/>
  <c r="AE140" i="1" s="1"/>
  <c r="AE129" i="1"/>
  <c r="AE131" i="1" s="1"/>
  <c r="AE141" i="1" s="1"/>
  <c r="AM133" i="1"/>
  <c r="AM140" i="1" s="1"/>
  <c r="AM129" i="1"/>
  <c r="AM131" i="1" s="1"/>
  <c r="BE133" i="1"/>
  <c r="BE129" i="1"/>
  <c r="BI133" i="1"/>
  <c r="BM133" i="1"/>
  <c r="BQ133" i="1"/>
  <c r="BU98" i="1"/>
  <c r="BY133" i="1"/>
  <c r="CC98" i="1"/>
  <c r="CG133" i="1"/>
  <c r="CG129" i="1"/>
  <c r="CG131" i="1" s="1"/>
  <c r="DF98" i="1"/>
  <c r="DJ133" i="1"/>
  <c r="DJ129" i="1"/>
  <c r="DN133" i="1"/>
  <c r="DR133" i="1"/>
  <c r="DR129" i="1"/>
  <c r="DV133" i="1"/>
  <c r="DV140" i="1" s="1"/>
  <c r="DV129" i="1"/>
  <c r="DZ133" i="1"/>
  <c r="DZ129" i="1"/>
  <c r="DC133" i="1"/>
  <c r="DC129" i="1"/>
  <c r="Q133" i="1"/>
  <c r="Q129" i="1"/>
  <c r="AP133" i="1"/>
  <c r="AP129" i="1"/>
  <c r="CN133" i="1"/>
  <c r="CN129" i="1"/>
  <c r="CN131" i="1" s="1"/>
  <c r="AR134" i="1"/>
  <c r="AR140" i="1" s="1"/>
  <c r="AR129" i="1"/>
  <c r="AR131" i="1" s="1"/>
  <c r="CP134" i="1"/>
  <c r="CP140" i="1" s="1"/>
  <c r="CP129" i="1"/>
  <c r="DO103" i="1"/>
  <c r="O134" i="1"/>
  <c r="O140" i="1" s="1"/>
  <c r="O129" i="1"/>
  <c r="O131" i="1" s="1"/>
  <c r="DM107" i="1"/>
  <c r="ED107" i="1"/>
  <c r="AH108" i="1"/>
  <c r="BM109" i="1"/>
  <c r="BG109" i="1" s="1"/>
  <c r="EE109" i="1" s="1"/>
  <c r="BQ109" i="1"/>
  <c r="AG110" i="1"/>
  <c r="BF110" i="1" s="1"/>
  <c r="EF110" i="1"/>
  <c r="BP111" i="1"/>
  <c r="I112" i="1"/>
  <c r="CE112" i="1"/>
  <c r="DD112" i="1" s="1"/>
  <c r="CD113" i="1"/>
  <c r="BG113" i="1" s="1"/>
  <c r="EE113" i="1" s="1"/>
  <c r="CY134" i="1"/>
  <c r="CY129" i="1"/>
  <c r="CD114" i="1"/>
  <c r="BG114" i="1" s="1"/>
  <c r="EE114" i="1" s="1"/>
  <c r="CV134" i="1"/>
  <c r="CV129" i="1"/>
  <c r="CF115" i="1"/>
  <c r="BY116" i="1"/>
  <c r="BG116" i="1" s="1"/>
  <c r="EE116" i="1" s="1"/>
  <c r="CH134" i="1"/>
  <c r="CH140" i="1" s="1"/>
  <c r="CH129" i="1"/>
  <c r="DG118" i="1"/>
  <c r="DE118" i="1" s="1"/>
  <c r="EF118" i="1" s="1"/>
  <c r="BI118" i="1"/>
  <c r="BG118" i="1" s="1"/>
  <c r="DW120" i="1"/>
  <c r="AG123" i="1"/>
  <c r="BF123" i="1" s="1"/>
  <c r="BH94" i="1"/>
  <c r="BG94" i="1" s="1"/>
  <c r="EE94" i="1" s="1"/>
  <c r="DF94" i="1"/>
  <c r="DE94" i="1" s="1"/>
  <c r="EF94" i="1" s="1"/>
  <c r="CF95" i="1"/>
  <c r="CY97" i="1"/>
  <c r="R133" i="1"/>
  <c r="R140" i="1" s="1"/>
  <c r="R129" i="1"/>
  <c r="X133" i="1"/>
  <c r="X140" i="1" s="1"/>
  <c r="X129" i="1"/>
  <c r="X131" i="1" s="1"/>
  <c r="AQ133" i="1"/>
  <c r="AQ140" i="1" s="1"/>
  <c r="AQ129" i="1"/>
  <c r="BJ133" i="1"/>
  <c r="BJ129" i="1"/>
  <c r="BN133" i="1"/>
  <c r="BN129" i="1"/>
  <c r="BV98" i="1"/>
  <c r="CD98" i="1"/>
  <c r="CK133" i="1"/>
  <c r="CK140" i="1" s="1"/>
  <c r="CK129" i="1"/>
  <c r="CK131" i="1" s="1"/>
  <c r="DG133" i="1"/>
  <c r="DK133" i="1"/>
  <c r="DS98" i="1"/>
  <c r="EA98" i="1"/>
  <c r="CD101" i="1"/>
  <c r="BG101" i="1" s="1"/>
  <c r="EE101" i="1" s="1"/>
  <c r="G102" i="1"/>
  <c r="ED102" i="1" s="1"/>
  <c r="BZ102" i="1"/>
  <c r="BZ133" i="1" s="1"/>
  <c r="G103" i="1"/>
  <c r="ED103" i="1" s="1"/>
  <c r="AH103" i="1"/>
  <c r="AS134" i="1"/>
  <c r="AS129" i="1"/>
  <c r="BH103" i="1"/>
  <c r="BP103" i="1"/>
  <c r="CF103" i="1"/>
  <c r="CQ134" i="1"/>
  <c r="CQ140" i="1" s="1"/>
  <c r="CQ129" i="1"/>
  <c r="DP103" i="1"/>
  <c r="DP134" i="1" s="1"/>
  <c r="EB103" i="1"/>
  <c r="G104" i="1"/>
  <c r="I104" i="1" s="1"/>
  <c r="BP105" i="1"/>
  <c r="BG105" i="1" s="1"/>
  <c r="EE105" i="1" s="1"/>
  <c r="CF105" i="1"/>
  <c r="G106" i="1"/>
  <c r="CE107" i="1"/>
  <c r="DD107" i="1" s="1"/>
  <c r="DO113" i="1"/>
  <c r="P134" i="1"/>
  <c r="P140" i="1" s="1"/>
  <c r="P129" i="1"/>
  <c r="P131" i="1" s="1"/>
  <c r="AO134" i="1"/>
  <c r="AO140" i="1" s="1"/>
  <c r="AO129" i="1"/>
  <c r="AO131" i="1" s="1"/>
  <c r="K134" i="1"/>
  <c r="K140" i="1" s="1"/>
  <c r="K129" i="1"/>
  <c r="BI117" i="1"/>
  <c r="AG119" i="1"/>
  <c r="BF119" i="1" s="1"/>
  <c r="EE119" i="1"/>
  <c r="CF120" i="1"/>
  <c r="CF122" i="1"/>
  <c r="CE126" i="1"/>
  <c r="DD126" i="1" s="1"/>
  <c r="G91" i="1"/>
  <c r="ED91" i="1" s="1"/>
  <c r="CA91" i="1"/>
  <c r="DY91" i="1"/>
  <c r="DY135" i="1" s="1"/>
  <c r="CF93" i="1"/>
  <c r="BY95" i="1"/>
  <c r="BY135" i="1" s="1"/>
  <c r="DW95" i="1"/>
  <c r="DW97" i="1" s="1"/>
  <c r="AZ97" i="1"/>
  <c r="G98" i="1"/>
  <c r="S133" i="1"/>
  <c r="S140" i="1" s="1"/>
  <c r="S129" i="1"/>
  <c r="AA133" i="1"/>
  <c r="AA140" i="1" s="1"/>
  <c r="AA129" i="1"/>
  <c r="AH98" i="1"/>
  <c r="AV133" i="1"/>
  <c r="AV140" i="1" s="1"/>
  <c r="AV129" i="1"/>
  <c r="AV131" i="1" s="1"/>
  <c r="BK133" i="1"/>
  <c r="BK129" i="1"/>
  <c r="BS133" i="1"/>
  <c r="BS129" i="1"/>
  <c r="BW133" i="1"/>
  <c r="BW129" i="1"/>
  <c r="CA133" i="1"/>
  <c r="CA129" i="1"/>
  <c r="DH133" i="1"/>
  <c r="DH129" i="1"/>
  <c r="DL133" i="1"/>
  <c r="DP133" i="1"/>
  <c r="DT133" i="1"/>
  <c r="DT129" i="1"/>
  <c r="DX133" i="1"/>
  <c r="EB133" i="1"/>
  <c r="AZ133" i="1"/>
  <c r="AZ140" i="1" s="1"/>
  <c r="AZ129" i="1"/>
  <c r="BO102" i="1"/>
  <c r="BO133" i="1" s="1"/>
  <c r="DM102" i="1"/>
  <c r="DE102" i="1" s="1"/>
  <c r="AT134" i="1"/>
  <c r="AT140" i="1" s="1"/>
  <c r="AT129" i="1"/>
  <c r="BQ103" i="1"/>
  <c r="BQ134" i="1" s="1"/>
  <c r="BY103" i="1"/>
  <c r="BY134" i="1" s="1"/>
  <c r="CC103" i="1"/>
  <c r="CC134" i="1" s="1"/>
  <c r="CR134" i="1"/>
  <c r="CR140" i="1" s="1"/>
  <c r="CR129" i="1"/>
  <c r="DQ103" i="1"/>
  <c r="DQ134" i="1" s="1"/>
  <c r="EB104" i="1"/>
  <c r="DE104" i="1" s="1"/>
  <c r="EF104" i="1" s="1"/>
  <c r="G105" i="1"/>
  <c r="AG105" i="1" s="1"/>
  <c r="BF105" i="1" s="1"/>
  <c r="AH106" i="1"/>
  <c r="BO106" i="1"/>
  <c r="BG106" i="1" s="1"/>
  <c r="DM106" i="1"/>
  <c r="DM134" i="1" s="1"/>
  <c r="DK107" i="1"/>
  <c r="DK134" i="1" s="1"/>
  <c r="DM108" i="1"/>
  <c r="DE108" i="1" s="1"/>
  <c r="EF108" i="1" s="1"/>
  <c r="BR111" i="1"/>
  <c r="CD111" i="1"/>
  <c r="G113" i="1"/>
  <c r="AG113" i="1" s="1"/>
  <c r="BF113" i="1" s="1"/>
  <c r="BA134" i="1"/>
  <c r="BA140" i="1" s="1"/>
  <c r="BA129" i="1"/>
  <c r="DX113" i="1"/>
  <c r="DX134" i="1" s="1"/>
  <c r="G114" i="1"/>
  <c r="AG114" i="1" s="1"/>
  <c r="BF114" i="1" s="1"/>
  <c r="AX134" i="1"/>
  <c r="AX129" i="1"/>
  <c r="DL114" i="1"/>
  <c r="DL129" i="1" s="1"/>
  <c r="G115" i="1"/>
  <c r="AG115" i="1" s="1"/>
  <c r="BF115" i="1" s="1"/>
  <c r="CD115" i="1"/>
  <c r="BG115" i="1" s="1"/>
  <c r="EE115" i="1" s="1"/>
  <c r="G117" i="1"/>
  <c r="EE118" i="1"/>
  <c r="BG123" i="1"/>
  <c r="EE123" i="1" s="1"/>
  <c r="DE123" i="1"/>
  <c r="AG126" i="1"/>
  <c r="BF126" i="1" s="1"/>
  <c r="BZ95" i="1"/>
  <c r="BZ135" i="1" s="1"/>
  <c r="DX95" i="1"/>
  <c r="AH96" i="1"/>
  <c r="CF96" i="1"/>
  <c r="AC97" i="1"/>
  <c r="AC131" i="1" s="1"/>
  <c r="AC141" i="1" s="1"/>
  <c r="BA97" i="1"/>
  <c r="T133" i="1"/>
  <c r="T140" i="1" s="1"/>
  <c r="T129" i="1"/>
  <c r="T131" i="1" s="1"/>
  <c r="T141" i="1" s="1"/>
  <c r="AB133" i="1"/>
  <c r="AB140" i="1" s="1"/>
  <c r="AB129" i="1"/>
  <c r="AI133" i="1"/>
  <c r="AI129" i="1"/>
  <c r="AW133" i="1"/>
  <c r="AW140" i="1" s="1"/>
  <c r="AW129" i="1"/>
  <c r="AW131" i="1" s="1"/>
  <c r="BH98" i="1"/>
  <c r="BL98" i="1"/>
  <c r="BP133" i="1"/>
  <c r="BT133" i="1"/>
  <c r="BT129" i="1"/>
  <c r="BX133" i="1"/>
  <c r="BX129" i="1"/>
  <c r="CB133" i="1"/>
  <c r="CB129" i="1"/>
  <c r="CF98" i="1"/>
  <c r="DI133" i="1"/>
  <c r="DI140" i="1" s="1"/>
  <c r="DI129" i="1"/>
  <c r="DQ133" i="1"/>
  <c r="DU133" i="1"/>
  <c r="DY133" i="1"/>
  <c r="DY129" i="1"/>
  <c r="AF133" i="1"/>
  <c r="AF129" i="1"/>
  <c r="BD133" i="1"/>
  <c r="BD140" i="1" s="1"/>
  <c r="BD129" i="1"/>
  <c r="CF101" i="1"/>
  <c r="AH102" i="1"/>
  <c r="CF102" i="1"/>
  <c r="AU134" i="1"/>
  <c r="AU129" i="1"/>
  <c r="AU131" i="1" s="1"/>
  <c r="BN134" i="1"/>
  <c r="BR103" i="1"/>
  <c r="BR134" i="1" s="1"/>
  <c r="BZ134" i="1"/>
  <c r="CD103" i="1"/>
  <c r="CD134" i="1" s="1"/>
  <c r="CO134" i="1"/>
  <c r="CO140" i="1" s="1"/>
  <c r="CO129" i="1"/>
  <c r="CX134" i="1"/>
  <c r="CX129" i="1"/>
  <c r="DF103" i="1"/>
  <c r="DN103" i="1"/>
  <c r="DN134" i="1" s="1"/>
  <c r="DZ134" i="1"/>
  <c r="CF106" i="1"/>
  <c r="BM107" i="1"/>
  <c r="BG107" i="1" s="1"/>
  <c r="EE107" i="1" s="1"/>
  <c r="BP109" i="1"/>
  <c r="CM134" i="1"/>
  <c r="CM140" i="1" s="1"/>
  <c r="CM129" i="1"/>
  <c r="CM131" i="1" s="1"/>
  <c r="DU114" i="1"/>
  <c r="DU129" i="1" s="1"/>
  <c r="AJ134" i="1"/>
  <c r="AJ129" i="1"/>
  <c r="CF116" i="1"/>
  <c r="DG117" i="1"/>
  <c r="DW117" i="1"/>
  <c r="I118" i="1"/>
  <c r="EF119" i="1"/>
  <c r="I120" i="1"/>
  <c r="AH120" i="1"/>
  <c r="BY120" i="1"/>
  <c r="BY138" i="1" s="1"/>
  <c r="DE120" i="1"/>
  <c r="AG122" i="1"/>
  <c r="BF122" i="1" s="1"/>
  <c r="BG122" i="1"/>
  <c r="EE122" i="1" s="1"/>
  <c r="DE122" i="1"/>
  <c r="DE124" i="1"/>
  <c r="EF124" i="1" s="1"/>
  <c r="AG125" i="1"/>
  <c r="BF125" i="1" s="1"/>
  <c r="CE125" i="1"/>
  <c r="DD125" i="1" s="1"/>
  <c r="EF125" i="1"/>
  <c r="DE128" i="1"/>
  <c r="EF128" i="1" s="1"/>
  <c r="BI126" i="1"/>
  <c r="BM126" i="1"/>
  <c r="BM138" i="1" s="1"/>
  <c r="BI127" i="1"/>
  <c r="BG127" i="1" s="1"/>
  <c r="EE127" i="1" s="1"/>
  <c r="DG127" i="1"/>
  <c r="DG136" i="1" s="1"/>
  <c r="BI128" i="1"/>
  <c r="BG128" i="1" s="1"/>
  <c r="EE128" i="1" s="1"/>
  <c r="J140" i="1"/>
  <c r="BI124" i="1"/>
  <c r="BG124" i="1" s="1"/>
  <c r="EE124" i="1" s="1"/>
  <c r="DK126" i="1"/>
  <c r="DE126" i="1" s="1"/>
  <c r="EF126" i="1" s="1"/>
  <c r="G128" i="1"/>
  <c r="ED128" i="1" s="1"/>
  <c r="AH121" i="1"/>
  <c r="CF121" i="1"/>
  <c r="G124" i="1"/>
  <c r="AG124" i="1" s="1"/>
  <c r="BF124" i="1" s="1"/>
  <c r="G127" i="1"/>
  <c r="AG127" i="1" s="1"/>
  <c r="BF127" i="1" s="1"/>
  <c r="I126" i="1"/>
  <c r="AN129" i="1"/>
  <c r="AN131" i="1" s="1"/>
  <c r="CL129" i="1"/>
  <c r="CL131" i="1" s="1"/>
  <c r="CL141" i="1" s="1"/>
  <c r="AU140" i="1"/>
  <c r="BC140" i="1"/>
  <c r="CF138" i="1"/>
  <c r="AN140" i="1"/>
  <c r="U140" i="1"/>
  <c r="AC140" i="1"/>
  <c r="AK140" i="1"/>
  <c r="AS140" i="1"/>
  <c r="DA140" i="1"/>
  <c r="AD140" i="1"/>
  <c r="AL140" i="1"/>
  <c r="AX140" i="1"/>
  <c r="CL140" i="1"/>
  <c r="DB140" i="1"/>
  <c r="BG111" i="1" l="1"/>
  <c r="EE111" i="1" s="1"/>
  <c r="BG59" i="2"/>
  <c r="DU139" i="1"/>
  <c r="DM133" i="1"/>
  <c r="AO141" i="1"/>
  <c r="CK141" i="1"/>
  <c r="AP140" i="1"/>
  <c r="BQ129" i="1"/>
  <c r="BC141" i="1"/>
  <c r="DC139" i="2"/>
  <c r="EE44" i="1"/>
  <c r="BO129" i="1"/>
  <c r="CA97" i="1"/>
  <c r="BE140" i="1"/>
  <c r="DU50" i="1"/>
  <c r="DU137" i="1"/>
  <c r="EE83" i="1"/>
  <c r="CE124" i="1"/>
  <c r="DD124" i="1" s="1"/>
  <c r="AF140" i="1"/>
  <c r="CD135" i="1"/>
  <c r="AD141" i="1"/>
  <c r="DE46" i="1"/>
  <c r="DW129" i="1"/>
  <c r="AJ140" i="1"/>
  <c r="AW141" i="1"/>
  <c r="DE95" i="1"/>
  <c r="P141" i="1"/>
  <c r="X141" i="1"/>
  <c r="DE107" i="1"/>
  <c r="EF107" i="1" s="1"/>
  <c r="AR141" i="1"/>
  <c r="AG91" i="1"/>
  <c r="BF91" i="1" s="1"/>
  <c r="CE114" i="1"/>
  <c r="DD114" i="1" s="1"/>
  <c r="DF97" i="1"/>
  <c r="G97" i="1"/>
  <c r="ED97" i="1" s="1"/>
  <c r="CE56" i="1"/>
  <c r="DD56" i="1" s="1"/>
  <c r="DC139" i="1"/>
  <c r="DC140" i="1" s="1"/>
  <c r="I37" i="1"/>
  <c r="CO131" i="1"/>
  <c r="CO141" i="1" s="1"/>
  <c r="DP134" i="2"/>
  <c r="BG101" i="2"/>
  <c r="CE124" i="2"/>
  <c r="CE119" i="2"/>
  <c r="BG47" i="2"/>
  <c r="BG34" i="2"/>
  <c r="BI136" i="2"/>
  <c r="CE14" i="2"/>
  <c r="DD14" i="2" s="1"/>
  <c r="I42" i="1"/>
  <c r="CE94" i="1"/>
  <c r="DD94" i="1" s="1"/>
  <c r="ED94" i="1"/>
  <c r="AG94" i="1"/>
  <c r="BF94" i="1" s="1"/>
  <c r="I95" i="1"/>
  <c r="BG34" i="1"/>
  <c r="AQ140" i="2"/>
  <c r="CE54" i="2"/>
  <c r="BG49" i="2"/>
  <c r="BG23" i="2"/>
  <c r="AG26" i="2"/>
  <c r="BF26" i="2" s="1"/>
  <c r="CE108" i="2"/>
  <c r="I48" i="2"/>
  <c r="I101" i="1"/>
  <c r="I41" i="1"/>
  <c r="I67" i="1"/>
  <c r="I103" i="1"/>
  <c r="CD139" i="1"/>
  <c r="CQ131" i="1"/>
  <c r="S131" i="1"/>
  <c r="S141" i="1" s="1"/>
  <c r="Y141" i="1"/>
  <c r="CB137" i="1"/>
  <c r="AG43" i="1"/>
  <c r="BF43" i="1" s="1"/>
  <c r="DP129" i="1"/>
  <c r="BN140" i="1"/>
  <c r="BO134" i="1"/>
  <c r="CN140" i="1"/>
  <c r="CN141" i="1" s="1"/>
  <c r="DR140" i="1"/>
  <c r="W141" i="1"/>
  <c r="AI131" i="1"/>
  <c r="DW135" i="1"/>
  <c r="AA131" i="1"/>
  <c r="AA141" i="1" s="1"/>
  <c r="BG65" i="1"/>
  <c r="EE65" i="1" s="1"/>
  <c r="CX139" i="1"/>
  <c r="CF139" i="1" s="1"/>
  <c r="DT131" i="1"/>
  <c r="AB131" i="1"/>
  <c r="AB141" i="1" s="1"/>
  <c r="CE65" i="1"/>
  <c r="DD65" i="1" s="1"/>
  <c r="DG50" i="1"/>
  <c r="I56" i="1"/>
  <c r="I51" i="1"/>
  <c r="R131" i="1"/>
  <c r="R141" i="1" s="1"/>
  <c r="Q131" i="1"/>
  <c r="Q141" i="1" s="1"/>
  <c r="DA141" i="1"/>
  <c r="DE39" i="1"/>
  <c r="EF39" i="1" s="1"/>
  <c r="DE13" i="1"/>
  <c r="EF13" i="1" s="1"/>
  <c r="CE87" i="2"/>
  <c r="DE43" i="2"/>
  <c r="CF137" i="2"/>
  <c r="BG25" i="2"/>
  <c r="CX24" i="2"/>
  <c r="I87" i="2"/>
  <c r="CF123" i="1"/>
  <c r="CE123" i="1" s="1"/>
  <c r="DD123" i="1" s="1"/>
  <c r="AG42" i="1"/>
  <c r="BF42" i="1" s="1"/>
  <c r="I111" i="1"/>
  <c r="CE32" i="1"/>
  <c r="DD32" i="1" s="1"/>
  <c r="I32" i="1"/>
  <c r="AG67" i="1"/>
  <c r="BF67" i="1" s="1"/>
  <c r="DP129" i="2"/>
  <c r="AG109" i="2"/>
  <c r="BF109" i="2" s="1"/>
  <c r="BI137" i="2"/>
  <c r="AG87" i="2"/>
  <c r="BF87" i="2" s="1"/>
  <c r="CV140" i="2"/>
  <c r="CE34" i="2"/>
  <c r="AJ140" i="2"/>
  <c r="BD140" i="2"/>
  <c r="BY138" i="2"/>
  <c r="DE107" i="2"/>
  <c r="CN140" i="2"/>
  <c r="CE114" i="2"/>
  <c r="DD114" i="2" s="1"/>
  <c r="BI50" i="2"/>
  <c r="BG71" i="2"/>
  <c r="CE109" i="2"/>
  <c r="BI138" i="2"/>
  <c r="DE54" i="2"/>
  <c r="BG38" i="2"/>
  <c r="AG32" i="2"/>
  <c r="BF32" i="2" s="1"/>
  <c r="CE45" i="2"/>
  <c r="DD45" i="2" s="1"/>
  <c r="DH140" i="2"/>
  <c r="BG105" i="2"/>
  <c r="BX97" i="2"/>
  <c r="DE58" i="2"/>
  <c r="DE26" i="2"/>
  <c r="CE48" i="2"/>
  <c r="CE30" i="2"/>
  <c r="DD30" i="2" s="1"/>
  <c r="CE55" i="2"/>
  <c r="EG55" i="2" s="1"/>
  <c r="I108" i="2"/>
  <c r="BO137" i="1"/>
  <c r="Q140" i="2"/>
  <c r="Q140" i="1"/>
  <c r="H131" i="1"/>
  <c r="DD26" i="2"/>
  <c r="EG26" i="2"/>
  <c r="DD124" i="2"/>
  <c r="EG124" i="2"/>
  <c r="BG85" i="2"/>
  <c r="DD59" i="2"/>
  <c r="EG59" i="2"/>
  <c r="DD39" i="2"/>
  <c r="EG39" i="2"/>
  <c r="DD42" i="2"/>
  <c r="EG42" i="2"/>
  <c r="I127" i="2"/>
  <c r="DD108" i="2"/>
  <c r="EG108" i="2"/>
  <c r="CE74" i="2"/>
  <c r="EF74" i="2"/>
  <c r="DD81" i="2"/>
  <c r="EG81" i="2"/>
  <c r="DD56" i="2"/>
  <c r="EG56" i="2"/>
  <c r="DD92" i="2"/>
  <c r="EG92" i="2"/>
  <c r="DD127" i="2"/>
  <c r="EG127" i="2"/>
  <c r="DD121" i="2"/>
  <c r="EG121" i="2"/>
  <c r="DD75" i="2"/>
  <c r="EG75" i="2"/>
  <c r="DD54" i="2"/>
  <c r="EG54" i="2"/>
  <c r="DD48" i="2"/>
  <c r="EG48" i="2"/>
  <c r="DD34" i="2"/>
  <c r="EG34" i="2"/>
  <c r="CE88" i="2"/>
  <c r="EF88" i="2"/>
  <c r="DD110" i="2"/>
  <c r="EG110" i="2"/>
  <c r="CE76" i="2"/>
  <c r="EF76" i="2"/>
  <c r="DD109" i="2"/>
  <c r="EG109" i="2"/>
  <c r="DD112" i="2"/>
  <c r="EG112" i="2"/>
  <c r="DD118" i="2"/>
  <c r="EG118" i="2"/>
  <c r="DD94" i="2"/>
  <c r="EG94" i="2"/>
  <c r="DD87" i="2"/>
  <c r="EG87" i="2"/>
  <c r="DD62" i="2"/>
  <c r="EG62" i="2"/>
  <c r="CE116" i="2"/>
  <c r="EF116" i="2"/>
  <c r="DD100" i="2"/>
  <c r="EG100" i="2"/>
  <c r="DD99" i="2"/>
  <c r="EG99" i="2"/>
  <c r="CE40" i="2"/>
  <c r="EF40" i="2"/>
  <c r="DD84" i="2"/>
  <c r="EG84" i="2"/>
  <c r="DD78" i="2"/>
  <c r="EG78" i="2"/>
  <c r="DD57" i="2"/>
  <c r="EG57" i="2"/>
  <c r="DD73" i="2"/>
  <c r="EG73" i="2"/>
  <c r="DD125" i="2"/>
  <c r="EG125" i="2"/>
  <c r="DD89" i="2"/>
  <c r="EG89" i="2"/>
  <c r="DD119" i="2"/>
  <c r="EG119" i="2"/>
  <c r="DD111" i="2"/>
  <c r="EG111" i="2"/>
  <c r="DD63" i="2"/>
  <c r="EG63" i="2"/>
  <c r="DD31" i="2"/>
  <c r="EG31" i="2"/>
  <c r="DD36" i="2"/>
  <c r="EG36" i="2"/>
  <c r="DD64" i="2"/>
  <c r="EG64" i="2"/>
  <c r="CE44" i="2"/>
  <c r="EF44" i="2"/>
  <c r="DD82" i="2"/>
  <c r="EG82" i="2"/>
  <c r="DD80" i="2"/>
  <c r="EG80" i="2"/>
  <c r="DD86" i="2"/>
  <c r="EG86" i="2"/>
  <c r="AG70" i="2"/>
  <c r="BF70" i="2" s="1"/>
  <c r="EE70" i="2"/>
  <c r="AG128" i="2"/>
  <c r="BF128" i="2" s="1"/>
  <c r="EE128" i="2"/>
  <c r="BR134" i="2"/>
  <c r="DQ129" i="2"/>
  <c r="BQ134" i="2"/>
  <c r="BQ140" i="2" s="1"/>
  <c r="AG85" i="2"/>
  <c r="BF85" i="2" s="1"/>
  <c r="EE85" i="2"/>
  <c r="I63" i="2"/>
  <c r="I29" i="2"/>
  <c r="EE29" i="2"/>
  <c r="I26" i="2"/>
  <c r="EE26" i="2"/>
  <c r="DE68" i="2"/>
  <c r="I34" i="2"/>
  <c r="EE34" i="2"/>
  <c r="CE32" i="2"/>
  <c r="EE32" i="2"/>
  <c r="AG126" i="2"/>
  <c r="BF126" i="2" s="1"/>
  <c r="EE126" i="2"/>
  <c r="I90" i="2"/>
  <c r="EE90" i="2"/>
  <c r="I104" i="2"/>
  <c r="EE104" i="2"/>
  <c r="DU137" i="2"/>
  <c r="BG122" i="2"/>
  <c r="AG31" i="2"/>
  <c r="BF31" i="2" s="1"/>
  <c r="EE31" i="2"/>
  <c r="I46" i="2"/>
  <c r="EE46" i="2"/>
  <c r="CE107" i="2"/>
  <c r="EE107" i="2"/>
  <c r="CD134" i="2"/>
  <c r="I102" i="2"/>
  <c r="EE102" i="2"/>
  <c r="AG43" i="2"/>
  <c r="BF43" i="2" s="1"/>
  <c r="EE43" i="2"/>
  <c r="I59" i="2"/>
  <c r="EE59" i="2"/>
  <c r="AG42" i="2"/>
  <c r="BF42" i="2" s="1"/>
  <c r="EE42" i="2"/>
  <c r="AG45" i="2"/>
  <c r="BF45" i="2" s="1"/>
  <c r="EE45" i="2"/>
  <c r="CE65" i="2"/>
  <c r="EE65" i="2"/>
  <c r="I101" i="2"/>
  <c r="EE101" i="2"/>
  <c r="AG91" i="2"/>
  <c r="BF91" i="2" s="1"/>
  <c r="EE91" i="2"/>
  <c r="I109" i="2"/>
  <c r="EE109" i="2"/>
  <c r="I47" i="2"/>
  <c r="EE47" i="2"/>
  <c r="I55" i="2"/>
  <c r="EE55" i="2"/>
  <c r="CE58" i="2"/>
  <c r="EE58" i="2"/>
  <c r="DM133" i="2"/>
  <c r="BG102" i="2"/>
  <c r="BI134" i="2"/>
  <c r="BG109" i="2"/>
  <c r="DE85" i="2"/>
  <c r="DC77" i="2"/>
  <c r="DX139" i="2"/>
  <c r="AG58" i="2"/>
  <c r="BF58" i="2" s="1"/>
  <c r="K140" i="2"/>
  <c r="DE71" i="2"/>
  <c r="I58" i="2"/>
  <c r="DE59" i="2"/>
  <c r="DT140" i="2"/>
  <c r="DG50" i="2"/>
  <c r="DE42" i="2"/>
  <c r="BG46" i="2"/>
  <c r="BG35" i="2"/>
  <c r="DJ140" i="2"/>
  <c r="BG13" i="2"/>
  <c r="DI140" i="2"/>
  <c r="DR140" i="2"/>
  <c r="DE13" i="2"/>
  <c r="AG7" i="2"/>
  <c r="BF7" i="2" s="1"/>
  <c r="BG17" i="2"/>
  <c r="DE113" i="1"/>
  <c r="EF113" i="1" s="1"/>
  <c r="DO129" i="1"/>
  <c r="DG134" i="1"/>
  <c r="DJ140" i="1"/>
  <c r="EB97" i="1"/>
  <c r="CF135" i="1"/>
  <c r="AN141" i="1"/>
  <c r="CM141" i="1"/>
  <c r="AU141" i="1"/>
  <c r="DE127" i="1"/>
  <c r="EF127" i="1" s="1"/>
  <c r="DK129" i="1"/>
  <c r="AV141" i="1"/>
  <c r="BP134" i="1"/>
  <c r="AM141" i="1"/>
  <c r="EB135" i="1"/>
  <c r="BI77" i="1"/>
  <c r="DO50" i="1"/>
  <c r="CY131" i="1"/>
  <c r="BG27" i="1"/>
  <c r="AP131" i="1"/>
  <c r="AP141" i="1" s="1"/>
  <c r="BA131" i="1"/>
  <c r="BZ137" i="1"/>
  <c r="BN131" i="1"/>
  <c r="BN141" i="1" s="1"/>
  <c r="BS136" i="1"/>
  <c r="DE126" i="2"/>
  <c r="BI24" i="2"/>
  <c r="CZ141" i="1"/>
  <c r="CA135" i="1"/>
  <c r="CQ141" i="1"/>
  <c r="AS131" i="1"/>
  <c r="AS141" i="1" s="1"/>
  <c r="AH50" i="1"/>
  <c r="DX50" i="1"/>
  <c r="BG41" i="1"/>
  <c r="CF135" i="2"/>
  <c r="BJ135" i="1"/>
  <c r="BJ140" i="1" s="1"/>
  <c r="AQ131" i="1"/>
  <c r="AQ141" i="1" s="1"/>
  <c r="CP131" i="1"/>
  <c r="CP141" i="1" s="1"/>
  <c r="EE62" i="1"/>
  <c r="EE79" i="1"/>
  <c r="AG79" i="1"/>
  <c r="BF79" i="1" s="1"/>
  <c r="BG126" i="1"/>
  <c r="EE126" i="1" s="1"/>
  <c r="BI129" i="1"/>
  <c r="CF134" i="1"/>
  <c r="AK141" i="1"/>
  <c r="BB141" i="1"/>
  <c r="DP137" i="1"/>
  <c r="AX131" i="1"/>
  <c r="AX141" i="1" s="1"/>
  <c r="BG55" i="2"/>
  <c r="DX50" i="2"/>
  <c r="DX131" i="2" s="1"/>
  <c r="I45" i="2"/>
  <c r="CF67" i="1"/>
  <c r="EE72" i="1"/>
  <c r="CZ140" i="2"/>
  <c r="AI140" i="2"/>
  <c r="CF50" i="2"/>
  <c r="CF68" i="2"/>
  <c r="I8" i="2"/>
  <c r="AF140" i="2"/>
  <c r="BT140" i="2"/>
  <c r="DC140" i="2"/>
  <c r="CA135" i="2"/>
  <c r="CA140" i="2" s="1"/>
  <c r="BG67" i="2"/>
  <c r="DE124" i="2"/>
  <c r="BP129" i="2"/>
  <c r="BE140" i="2"/>
  <c r="EB135" i="2"/>
  <c r="DU77" i="2"/>
  <c r="BG58" i="2"/>
  <c r="CV131" i="2"/>
  <c r="AH139" i="2"/>
  <c r="CQ131" i="2"/>
  <c r="DP137" i="2"/>
  <c r="DE51" i="2"/>
  <c r="CO131" i="2"/>
  <c r="BA131" i="2"/>
  <c r="AR131" i="2"/>
  <c r="BG27" i="2"/>
  <c r="I94" i="2"/>
  <c r="AG94" i="2"/>
  <c r="BF94" i="2" s="1"/>
  <c r="DP140" i="2"/>
  <c r="CP131" i="2"/>
  <c r="R131" i="2"/>
  <c r="AS131" i="2"/>
  <c r="DT131" i="2"/>
  <c r="AP131" i="2"/>
  <c r="Q131" i="2"/>
  <c r="BG10" i="2"/>
  <c r="CE29" i="2"/>
  <c r="CE91" i="2"/>
  <c r="CF134" i="2"/>
  <c r="DW129" i="2"/>
  <c r="EB129" i="2"/>
  <c r="CC134" i="2"/>
  <c r="AA140" i="2"/>
  <c r="DW138" i="2"/>
  <c r="BI129" i="2"/>
  <c r="CA97" i="2"/>
  <c r="CA131" i="2" s="1"/>
  <c r="CF97" i="2"/>
  <c r="G77" i="2"/>
  <c r="EE77" i="2" s="1"/>
  <c r="AI131" i="2"/>
  <c r="BY77" i="2"/>
  <c r="DU139" i="2"/>
  <c r="DU140" i="2" s="1"/>
  <c r="AQ131" i="2"/>
  <c r="DE46" i="2"/>
  <c r="AB131" i="2"/>
  <c r="CC138" i="2"/>
  <c r="CF7" i="2"/>
  <c r="CE7" i="2" s="1"/>
  <c r="DD7" i="2" s="1"/>
  <c r="CF69" i="2"/>
  <c r="DG129" i="2"/>
  <c r="BG111" i="2"/>
  <c r="CD135" i="2"/>
  <c r="AA131" i="2"/>
  <c r="CX139" i="2"/>
  <c r="CF139" i="2" s="1"/>
  <c r="CY131" i="2"/>
  <c r="S131" i="2"/>
  <c r="AX131" i="2"/>
  <c r="T131" i="2"/>
  <c r="BS136" i="2"/>
  <c r="BG136" i="2" s="1"/>
  <c r="BG22" i="2"/>
  <c r="CE70" i="2"/>
  <c r="CE128" i="2"/>
  <c r="CE101" i="2"/>
  <c r="DM129" i="2"/>
  <c r="BL133" i="2"/>
  <c r="BL140" i="2" s="1"/>
  <c r="BL129" i="2"/>
  <c r="BL131" i="2" s="1"/>
  <c r="CE96" i="2"/>
  <c r="AG106" i="2"/>
  <c r="BF106" i="2" s="1"/>
  <c r="DM134" i="2"/>
  <c r="G129" i="2"/>
  <c r="EE129" i="2" s="1"/>
  <c r="I98" i="2"/>
  <c r="DE113" i="2"/>
  <c r="CE105" i="2"/>
  <c r="DX134" i="2"/>
  <c r="DS133" i="2"/>
  <c r="DS140" i="2" s="1"/>
  <c r="DS129" i="2"/>
  <c r="BV129" i="2"/>
  <c r="BV131" i="2" s="1"/>
  <c r="BV133" i="2"/>
  <c r="BV140" i="2" s="1"/>
  <c r="CE95" i="2"/>
  <c r="AG118" i="2"/>
  <c r="BF118" i="2" s="1"/>
  <c r="DO134" i="2"/>
  <c r="DN129" i="2"/>
  <c r="CG140" i="2"/>
  <c r="CF133" i="2"/>
  <c r="BY129" i="2"/>
  <c r="CE117" i="2"/>
  <c r="CE113" i="2"/>
  <c r="CE93" i="2"/>
  <c r="DY135" i="2"/>
  <c r="DY140" i="2" s="1"/>
  <c r="BZ77" i="2"/>
  <c r="I103" i="2"/>
  <c r="AG79" i="2"/>
  <c r="BF79" i="2" s="1"/>
  <c r="DX135" i="2"/>
  <c r="BZ135" i="2"/>
  <c r="BJ135" i="2"/>
  <c r="CX77" i="2"/>
  <c r="CE72" i="2"/>
  <c r="CE66" i="2"/>
  <c r="BG89" i="2"/>
  <c r="I71" i="2"/>
  <c r="BG106" i="2"/>
  <c r="BR140" i="2"/>
  <c r="BX135" i="2"/>
  <c r="BH135" i="2"/>
  <c r="DW70" i="2"/>
  <c r="DE70" i="2" s="1"/>
  <c r="CE52" i="2"/>
  <c r="I85" i="2"/>
  <c r="BY139" i="2"/>
  <c r="BY140" i="2" s="1"/>
  <c r="EB139" i="2"/>
  <c r="EB77" i="2"/>
  <c r="CE33" i="2"/>
  <c r="BW137" i="2"/>
  <c r="BW140" i="2" s="1"/>
  <c r="BG66" i="2"/>
  <c r="CE47" i="2"/>
  <c r="AG27" i="2"/>
  <c r="BF27" i="2" s="1"/>
  <c r="BW77" i="2"/>
  <c r="BW131" i="2" s="1"/>
  <c r="CE43" i="2"/>
  <c r="DO137" i="2"/>
  <c r="BG63" i="2"/>
  <c r="CE46" i="2"/>
  <c r="CR131" i="2"/>
  <c r="BX131" i="2"/>
  <c r="I17" i="2"/>
  <c r="I35" i="2"/>
  <c r="CD137" i="2"/>
  <c r="CD50" i="2"/>
  <c r="DC131" i="2"/>
  <c r="BK131" i="2"/>
  <c r="K131" i="2"/>
  <c r="I49" i="2"/>
  <c r="AG37" i="2"/>
  <c r="BF37" i="2" s="1"/>
  <c r="CE35" i="2"/>
  <c r="DZ50" i="2"/>
  <c r="DZ131" i="2" s="1"/>
  <c r="DP131" i="2"/>
  <c r="BN131" i="2"/>
  <c r="AT131" i="2"/>
  <c r="CE16" i="2"/>
  <c r="DD16" i="2" s="1"/>
  <c r="CE10" i="2"/>
  <c r="DD10" i="2" s="1"/>
  <c r="CF24" i="2"/>
  <c r="CE6" i="2"/>
  <c r="DD6" i="2" s="1"/>
  <c r="CE37" i="2"/>
  <c r="CB50" i="2"/>
  <c r="CB131" i="2" s="1"/>
  <c r="DQ136" i="2"/>
  <c r="DE11" i="2"/>
  <c r="CE13" i="2"/>
  <c r="DD13" i="2" s="1"/>
  <c r="CE19" i="2"/>
  <c r="DD19" i="2" s="1"/>
  <c r="DE122" i="2"/>
  <c r="CE106" i="2"/>
  <c r="CM140" i="2"/>
  <c r="DE123" i="2"/>
  <c r="CX129" i="2"/>
  <c r="CX131" i="2" s="1"/>
  <c r="CB140" i="2"/>
  <c r="BH133" i="2"/>
  <c r="BH129" i="2"/>
  <c r="BG98" i="2"/>
  <c r="AG96" i="2"/>
  <c r="BF96" i="2" s="1"/>
  <c r="I105" i="2"/>
  <c r="BO129" i="2"/>
  <c r="CE90" i="2"/>
  <c r="BG126" i="2"/>
  <c r="CE103" i="2"/>
  <c r="DK129" i="2"/>
  <c r="DK131" i="2" s="1"/>
  <c r="BN140" i="2"/>
  <c r="CF123" i="2"/>
  <c r="EF123" i="2" s="1"/>
  <c r="I120" i="2"/>
  <c r="CE115" i="2"/>
  <c r="DK134" i="2"/>
  <c r="DK140" i="2" s="1"/>
  <c r="BU129" i="2"/>
  <c r="BU131" i="2" s="1"/>
  <c r="BU133" i="2"/>
  <c r="BU140" i="2" s="1"/>
  <c r="BM129" i="2"/>
  <c r="BM131" i="2" s="1"/>
  <c r="DE120" i="2"/>
  <c r="AG117" i="2"/>
  <c r="BF117" i="2" s="1"/>
  <c r="DE104" i="2"/>
  <c r="DO129" i="2"/>
  <c r="DO131" i="2" s="1"/>
  <c r="AG120" i="2"/>
  <c r="BF120" i="2" s="1"/>
  <c r="CE83" i="2"/>
  <c r="EB97" i="2"/>
  <c r="CD97" i="2"/>
  <c r="I97" i="2"/>
  <c r="AG72" i="2"/>
  <c r="BF72" i="2" s="1"/>
  <c r="AG66" i="2"/>
  <c r="BF66" i="2" s="1"/>
  <c r="CE60" i="2"/>
  <c r="CE53" i="2"/>
  <c r="DE117" i="2"/>
  <c r="AG89" i="2"/>
  <c r="BF89" i="2" s="1"/>
  <c r="BG120" i="2"/>
  <c r="BR129" i="2"/>
  <c r="AH97" i="2"/>
  <c r="CE61" i="2"/>
  <c r="AG61" i="2"/>
  <c r="BF61" i="2" s="1"/>
  <c r="AG52" i="2"/>
  <c r="BF52" i="2" s="1"/>
  <c r="I53" i="2"/>
  <c r="DX137" i="2"/>
  <c r="AG38" i="2"/>
  <c r="BF38" i="2" s="1"/>
  <c r="AG34" i="2"/>
  <c r="BF34" i="2" s="1"/>
  <c r="BG43" i="2"/>
  <c r="DH131" i="2"/>
  <c r="BT131" i="2"/>
  <c r="BD131" i="2"/>
  <c r="H131" i="2"/>
  <c r="AG15" i="2"/>
  <c r="BF15" i="2" s="1"/>
  <c r="CD138" i="2"/>
  <c r="CD24" i="2"/>
  <c r="AH138" i="2"/>
  <c r="AG6" i="2"/>
  <c r="BF6" i="2" s="1"/>
  <c r="AH24" i="2"/>
  <c r="BZ50" i="2"/>
  <c r="BR50" i="2"/>
  <c r="AH137" i="2"/>
  <c r="G24" i="2"/>
  <c r="EE24" i="2" s="1"/>
  <c r="DQ24" i="2"/>
  <c r="DQ131" i="2" s="1"/>
  <c r="DI131" i="2"/>
  <c r="DZ137" i="2"/>
  <c r="DZ140" i="2" s="1"/>
  <c r="G50" i="2"/>
  <c r="EE50" i="2" s="1"/>
  <c r="BJ131" i="2"/>
  <c r="AG16" i="2"/>
  <c r="BF16" i="2" s="1"/>
  <c r="AG13" i="2"/>
  <c r="BF13" i="2" s="1"/>
  <c r="BO137" i="2"/>
  <c r="BO140" i="2" s="1"/>
  <c r="BO50" i="2"/>
  <c r="CE23" i="2"/>
  <c r="DD23" i="2" s="1"/>
  <c r="AG20" i="2"/>
  <c r="BF20" i="2" s="1"/>
  <c r="EA138" i="2"/>
  <c r="DG138" i="2"/>
  <c r="DG24" i="2"/>
  <c r="DE6" i="2"/>
  <c r="BS138" i="2"/>
  <c r="BS140" i="2" s="1"/>
  <c r="CE126" i="2"/>
  <c r="CE102" i="2"/>
  <c r="I128" i="2"/>
  <c r="AG104" i="2"/>
  <c r="BF104" i="2" s="1"/>
  <c r="CE104" i="2"/>
  <c r="DL134" i="2"/>
  <c r="DL140" i="2" s="1"/>
  <c r="BP134" i="2"/>
  <c r="BP140" i="2" s="1"/>
  <c r="AH134" i="2"/>
  <c r="AG103" i="2"/>
  <c r="BF103" i="2" s="1"/>
  <c r="AG121" i="2"/>
  <c r="BF121" i="2" s="1"/>
  <c r="DG134" i="2"/>
  <c r="CC129" i="2"/>
  <c r="CC131" i="2" s="1"/>
  <c r="CC133" i="2"/>
  <c r="BG116" i="2"/>
  <c r="DW134" i="2"/>
  <c r="AG93" i="2"/>
  <c r="BF93" i="2" s="1"/>
  <c r="AG83" i="2"/>
  <c r="BF83" i="2" s="1"/>
  <c r="AG60" i="2"/>
  <c r="BF60" i="2" s="1"/>
  <c r="I117" i="2"/>
  <c r="AG115" i="2"/>
  <c r="BF115" i="2" s="1"/>
  <c r="DE93" i="2"/>
  <c r="BY97" i="2"/>
  <c r="CE67" i="2"/>
  <c r="BG65" i="2"/>
  <c r="BZ133" i="2"/>
  <c r="DE95" i="2"/>
  <c r="DV97" i="2"/>
  <c r="DV131" i="2" s="1"/>
  <c r="DF97" i="2"/>
  <c r="AH135" i="2"/>
  <c r="I67" i="2"/>
  <c r="CD139" i="2"/>
  <c r="CD77" i="2"/>
  <c r="AG41" i="2"/>
  <c r="BF41" i="2" s="1"/>
  <c r="CE27" i="2"/>
  <c r="AG90" i="2"/>
  <c r="BF90" i="2" s="1"/>
  <c r="I61" i="2"/>
  <c r="CE49" i="2"/>
  <c r="I41" i="2"/>
  <c r="CE51" i="2"/>
  <c r="I43" i="2"/>
  <c r="AG33" i="2"/>
  <c r="BF33" i="2" s="1"/>
  <c r="DG137" i="2"/>
  <c r="CE85" i="2"/>
  <c r="DW67" i="2"/>
  <c r="DW139" i="2" s="1"/>
  <c r="AG53" i="2"/>
  <c r="BF53" i="2" s="1"/>
  <c r="DE48" i="2"/>
  <c r="AH77" i="2"/>
  <c r="AG35" i="2"/>
  <c r="BF35" i="2" s="1"/>
  <c r="DD25" i="2"/>
  <c r="CJ131" i="2"/>
  <c r="AZ131" i="2"/>
  <c r="AJ131" i="2"/>
  <c r="I37" i="2"/>
  <c r="BZ137" i="2"/>
  <c r="DR131" i="2"/>
  <c r="BS24" i="2"/>
  <c r="BS131" i="2" s="1"/>
  <c r="DQ138" i="2"/>
  <c r="CE41" i="2"/>
  <c r="CE28" i="2"/>
  <c r="DN50" i="2"/>
  <c r="EB137" i="2"/>
  <c r="EB50" i="2"/>
  <c r="CE15" i="2"/>
  <c r="DD15" i="2" s="1"/>
  <c r="EB138" i="2"/>
  <c r="EB24" i="2"/>
  <c r="I27" i="2"/>
  <c r="BP50" i="2"/>
  <c r="BP131" i="2" s="1"/>
  <c r="DM137" i="2"/>
  <c r="DM50" i="2"/>
  <c r="DJ131" i="2"/>
  <c r="CE17" i="2"/>
  <c r="DD17" i="2" s="1"/>
  <c r="BG6" i="2"/>
  <c r="CE122" i="2"/>
  <c r="I122" i="2"/>
  <c r="DF134" i="2"/>
  <c r="DE103" i="2"/>
  <c r="AG102" i="2"/>
  <c r="BF102" i="2" s="1"/>
  <c r="CE98" i="2"/>
  <c r="BX140" i="2"/>
  <c r="BM134" i="2"/>
  <c r="BM140" i="2" s="1"/>
  <c r="DL129" i="2"/>
  <c r="DL131" i="2" s="1"/>
  <c r="AH129" i="2"/>
  <c r="AH133" i="2"/>
  <c r="AG98" i="2"/>
  <c r="BF98" i="2" s="1"/>
  <c r="AG122" i="2"/>
  <c r="BF122" i="2" s="1"/>
  <c r="I106" i="2"/>
  <c r="EB134" i="2"/>
  <c r="BH134" i="2"/>
  <c r="BG103" i="2"/>
  <c r="EA133" i="2"/>
  <c r="EA129" i="2"/>
  <c r="EA131" i="2" s="1"/>
  <c r="CD129" i="2"/>
  <c r="CD133" i="2"/>
  <c r="BJ140" i="2"/>
  <c r="I126" i="2"/>
  <c r="AG108" i="2"/>
  <c r="BF108" i="2" s="1"/>
  <c r="DV140" i="2"/>
  <c r="DN140" i="2"/>
  <c r="DF129" i="2"/>
  <c r="DF133" i="2"/>
  <c r="DE98" i="2"/>
  <c r="BQ129" i="2"/>
  <c r="BQ131" i="2" s="1"/>
  <c r="I115" i="2"/>
  <c r="AG105" i="2"/>
  <c r="BF105" i="2" s="1"/>
  <c r="BG95" i="2"/>
  <c r="DY97" i="2"/>
  <c r="DY131" i="2" s="1"/>
  <c r="CE79" i="2"/>
  <c r="CE120" i="2"/>
  <c r="I113" i="2"/>
  <c r="BG93" i="2"/>
  <c r="BG90" i="2"/>
  <c r="DE63" i="2"/>
  <c r="AG113" i="2"/>
  <c r="BF113" i="2" s="1"/>
  <c r="DF135" i="2"/>
  <c r="DE135" i="2" s="1"/>
  <c r="BH97" i="2"/>
  <c r="G97" i="2"/>
  <c r="I70" i="2"/>
  <c r="CF71" i="2"/>
  <c r="BI139" i="2"/>
  <c r="BI77" i="2"/>
  <c r="BI131" i="2" s="1"/>
  <c r="AG49" i="2"/>
  <c r="BF49" i="2" s="1"/>
  <c r="AG67" i="2"/>
  <c r="BF67" i="2" s="1"/>
  <c r="CE38" i="2"/>
  <c r="DG139" i="2"/>
  <c r="DG77" i="2"/>
  <c r="I28" i="2"/>
  <c r="DS131" i="2"/>
  <c r="AF131" i="2"/>
  <c r="CE22" i="2"/>
  <c r="DD22" i="2" s="1"/>
  <c r="I22" i="2"/>
  <c r="AG10" i="2"/>
  <c r="BF10" i="2" s="1"/>
  <c r="AH50" i="2"/>
  <c r="DG136" i="2"/>
  <c r="DE136" i="2" s="1"/>
  <c r="DU131" i="2"/>
  <c r="BG51" i="2"/>
  <c r="AG28" i="2"/>
  <c r="BF28" i="2" s="1"/>
  <c r="DE27" i="2"/>
  <c r="CH131" i="2"/>
  <c r="AG17" i="2"/>
  <c r="BF17" i="2" s="1"/>
  <c r="CX138" i="2"/>
  <c r="BE131" i="2"/>
  <c r="AG22" i="2"/>
  <c r="BF22" i="2" s="1"/>
  <c r="I19" i="2"/>
  <c r="BK138" i="2"/>
  <c r="BK140" i="2" s="1"/>
  <c r="I13" i="2"/>
  <c r="EF25" i="1"/>
  <c r="BA141" i="1"/>
  <c r="CF142" i="1"/>
  <c r="EE55" i="1"/>
  <c r="O141" i="1"/>
  <c r="AY141" i="1"/>
  <c r="CE101" i="1"/>
  <c r="DD101" i="1" s="1"/>
  <c r="EF101" i="1"/>
  <c r="BL133" i="1"/>
  <c r="BL140" i="1" s="1"/>
  <c r="BL129" i="1"/>
  <c r="CE96" i="1"/>
  <c r="DD96" i="1" s="1"/>
  <c r="EF96" i="1"/>
  <c r="DX129" i="1"/>
  <c r="DL134" i="1"/>
  <c r="AH134" i="1"/>
  <c r="AG103" i="1"/>
  <c r="BF103" i="1" s="1"/>
  <c r="DZ140" i="1"/>
  <c r="CY140" i="1"/>
  <c r="CY141" i="1" s="1"/>
  <c r="ED124" i="1"/>
  <c r="I124" i="1"/>
  <c r="DQ129" i="1"/>
  <c r="CB140" i="1"/>
  <c r="BT140" i="1"/>
  <c r="BH133" i="1"/>
  <c r="BH129" i="1"/>
  <c r="BG98" i="1"/>
  <c r="AI140" i="1"/>
  <c r="AI141" i="1" s="1"/>
  <c r="EE96" i="1"/>
  <c r="AG96" i="1"/>
  <c r="BF96" i="1" s="1"/>
  <c r="AG128" i="1"/>
  <c r="BF128" i="1" s="1"/>
  <c r="ED117" i="1"/>
  <c r="I117" i="1"/>
  <c r="DU134" i="1"/>
  <c r="DP140" i="1"/>
  <c r="DH140" i="1"/>
  <c r="BW140" i="1"/>
  <c r="I106" i="1"/>
  <c r="ED106" i="1"/>
  <c r="EB134" i="1"/>
  <c r="BH134" i="1"/>
  <c r="BG103" i="1"/>
  <c r="EE103" i="1" s="1"/>
  <c r="EA129" i="1"/>
  <c r="EA133" i="1"/>
  <c r="EA140" i="1" s="1"/>
  <c r="DG129" i="1"/>
  <c r="CD133" i="1"/>
  <c r="CD129" i="1"/>
  <c r="I128" i="1"/>
  <c r="DN129" i="1"/>
  <c r="DF133" i="1"/>
  <c r="DF129" i="1"/>
  <c r="DE98" i="1"/>
  <c r="EF98" i="1" s="1"/>
  <c r="BY129" i="1"/>
  <c r="BQ140" i="1"/>
  <c r="DE106" i="1"/>
  <c r="DW134" i="1"/>
  <c r="BY97" i="1"/>
  <c r="BG93" i="1"/>
  <c r="DF135" i="1"/>
  <c r="AH135" i="1"/>
  <c r="AH97" i="1"/>
  <c r="EE78" i="1"/>
  <c r="AG78" i="1"/>
  <c r="BF78" i="1" s="1"/>
  <c r="EF75" i="1"/>
  <c r="CE75" i="1"/>
  <c r="DD75" i="1" s="1"/>
  <c r="CE71" i="1"/>
  <c r="DD71" i="1" s="1"/>
  <c r="EE52" i="1"/>
  <c r="AG52" i="1"/>
  <c r="BF52" i="1" s="1"/>
  <c r="DE114" i="1"/>
  <c r="EF114" i="1" s="1"/>
  <c r="BG95" i="1"/>
  <c r="EE95" i="1" s="1"/>
  <c r="BG91" i="1"/>
  <c r="EE91" i="1" s="1"/>
  <c r="BR129" i="1"/>
  <c r="DX97" i="1"/>
  <c r="BZ97" i="1"/>
  <c r="AG60" i="1"/>
  <c r="BF60" i="1" s="1"/>
  <c r="EE60" i="1"/>
  <c r="BY139" i="1"/>
  <c r="BI139" i="1"/>
  <c r="BW50" i="1"/>
  <c r="BW131" i="1" s="1"/>
  <c r="BW141" i="1" s="1"/>
  <c r="I90" i="1"/>
  <c r="BX97" i="1"/>
  <c r="AG76" i="1"/>
  <c r="BF76" i="1" s="1"/>
  <c r="EE34" i="1"/>
  <c r="AG34" i="1"/>
  <c r="BF34" i="1" s="1"/>
  <c r="DG137" i="1"/>
  <c r="BZ77" i="1"/>
  <c r="CE36" i="1"/>
  <c r="DD36" i="1" s="1"/>
  <c r="EF36" i="1"/>
  <c r="BP50" i="1"/>
  <c r="DH131" i="1"/>
  <c r="BT131" i="1"/>
  <c r="BD131" i="1"/>
  <c r="BD141" i="1" s="1"/>
  <c r="CD138" i="1"/>
  <c r="CD24" i="1"/>
  <c r="I28" i="1"/>
  <c r="CA131" i="1"/>
  <c r="BK131" i="1"/>
  <c r="K131" i="1"/>
  <c r="K141" i="1" s="1"/>
  <c r="AG51" i="1"/>
  <c r="BF51" i="1" s="1"/>
  <c r="DE27" i="1"/>
  <c r="EF27" i="1" s="1"/>
  <c r="BZ50" i="1"/>
  <c r="BR50" i="1"/>
  <c r="DU131" i="1"/>
  <c r="CH131" i="1"/>
  <c r="EE17" i="1"/>
  <c r="AG17" i="1"/>
  <c r="BF17" i="1" s="1"/>
  <c r="EF15" i="1"/>
  <c r="CE15" i="1"/>
  <c r="DD15" i="1" s="1"/>
  <c r="CF24" i="1"/>
  <c r="CE6" i="1"/>
  <c r="DD6" i="1" s="1"/>
  <c r="ED6" i="1"/>
  <c r="G24" i="1"/>
  <c r="CV137" i="1"/>
  <c r="CV50" i="1"/>
  <c r="CV131" i="1" s="1"/>
  <c r="CF46" i="1"/>
  <c r="CE35" i="1"/>
  <c r="DD35" i="1" s="1"/>
  <c r="DN50" i="1"/>
  <c r="DN131" i="1" s="1"/>
  <c r="EE20" i="1"/>
  <c r="AG20" i="1"/>
  <c r="BF20" i="1" s="1"/>
  <c r="EA131" i="1"/>
  <c r="EA141" i="1" s="1"/>
  <c r="DK138" i="1"/>
  <c r="BS138" i="1"/>
  <c r="BS140" i="1" s="1"/>
  <c r="BI136" i="1"/>
  <c r="BG136" i="1" s="1"/>
  <c r="I13" i="1"/>
  <c r="CE128" i="1"/>
  <c r="DD128" i="1" s="1"/>
  <c r="CE120" i="1"/>
  <c r="DD120" i="1" s="1"/>
  <c r="EF120" i="1"/>
  <c r="DK140" i="1"/>
  <c r="CE127" i="1"/>
  <c r="DD127" i="1" s="1"/>
  <c r="DS133" i="1"/>
  <c r="DS140" i="1" s="1"/>
  <c r="DS129" i="1"/>
  <c r="BY140" i="1"/>
  <c r="EF80" i="1"/>
  <c r="CE80" i="1"/>
  <c r="DD80" i="1" s="1"/>
  <c r="CF97" i="1"/>
  <c r="EF78" i="1"/>
  <c r="CE78" i="1"/>
  <c r="DD78" i="1" s="1"/>
  <c r="EE75" i="1"/>
  <c r="AG75" i="1"/>
  <c r="BF75" i="1" s="1"/>
  <c r="CF69" i="1"/>
  <c r="CF77" i="1" s="1"/>
  <c r="DW69" i="1"/>
  <c r="BG102" i="1"/>
  <c r="BR140" i="1"/>
  <c r="DX135" i="1"/>
  <c r="DX140" i="1" s="1"/>
  <c r="CE54" i="1"/>
  <c r="DD54" i="1" s="1"/>
  <c r="EF54" i="1"/>
  <c r="AG68" i="1"/>
  <c r="BF68" i="1" s="1"/>
  <c r="DW70" i="1"/>
  <c r="DE70" i="1" s="1"/>
  <c r="EF70" i="1" s="1"/>
  <c r="CE68" i="1"/>
  <c r="DD68" i="1" s="1"/>
  <c r="EF68" i="1"/>
  <c r="EF49" i="1"/>
  <c r="CE49" i="1"/>
  <c r="DD49" i="1" s="1"/>
  <c r="DE89" i="1"/>
  <c r="EF89" i="1" s="1"/>
  <c r="BG85" i="1"/>
  <c r="EE85" i="1" s="1"/>
  <c r="EB71" i="1"/>
  <c r="DE71" i="1" s="1"/>
  <c r="EF71" i="1" s="1"/>
  <c r="DE63" i="1"/>
  <c r="EF63" i="1" s="1"/>
  <c r="DE55" i="1"/>
  <c r="EF55" i="1" s="1"/>
  <c r="CE43" i="1"/>
  <c r="DD43" i="1" s="1"/>
  <c r="EE33" i="1"/>
  <c r="AG33" i="1"/>
  <c r="BF33" i="1" s="1"/>
  <c r="DE85" i="1"/>
  <c r="BZ139" i="1"/>
  <c r="BZ140" i="1" s="1"/>
  <c r="AG47" i="1"/>
  <c r="BF47" i="1" s="1"/>
  <c r="EE47" i="1"/>
  <c r="BP137" i="1"/>
  <c r="BP140" i="1" s="1"/>
  <c r="CJ131" i="1"/>
  <c r="CJ141" i="1" s="1"/>
  <c r="AZ131" i="1"/>
  <c r="AZ141" i="1" s="1"/>
  <c r="AJ131" i="1"/>
  <c r="AJ141" i="1" s="1"/>
  <c r="ED22" i="1"/>
  <c r="CE22" i="1"/>
  <c r="DD22" i="1" s="1"/>
  <c r="I22" i="1"/>
  <c r="DQ138" i="1"/>
  <c r="DD25" i="1"/>
  <c r="AH77" i="1"/>
  <c r="BG43" i="1"/>
  <c r="EE43" i="1" s="1"/>
  <c r="CE33" i="1"/>
  <c r="DD33" i="1" s="1"/>
  <c r="EF33" i="1"/>
  <c r="AT131" i="1"/>
  <c r="AT141" i="1" s="1"/>
  <c r="BG6" i="1"/>
  <c r="BG24" i="1" s="1"/>
  <c r="BI138" i="1"/>
  <c r="EE46" i="1"/>
  <c r="AG46" i="1"/>
  <c r="BF46" i="1" s="1"/>
  <c r="CE28" i="1"/>
  <c r="DD28" i="1" s="1"/>
  <c r="DI131" i="1"/>
  <c r="DI141" i="1" s="1"/>
  <c r="CE23" i="1"/>
  <c r="DD23" i="1" s="1"/>
  <c r="EF23" i="1"/>
  <c r="DQ136" i="1"/>
  <c r="DQ140" i="1" s="1"/>
  <c r="CE11" i="1"/>
  <c r="DD11" i="1" s="1"/>
  <c r="EF11" i="1"/>
  <c r="DO131" i="1"/>
  <c r="DG138" i="1"/>
  <c r="DG24" i="1"/>
  <c r="DE6" i="1"/>
  <c r="DE24" i="1" s="1"/>
  <c r="BI24" i="1"/>
  <c r="BI131" i="1" s="1"/>
  <c r="AG7" i="1"/>
  <c r="BF7" i="1" s="1"/>
  <c r="AG22" i="1"/>
  <c r="BF22" i="1" s="1"/>
  <c r="CE13" i="1"/>
  <c r="DD13" i="1" s="1"/>
  <c r="CE116" i="1"/>
  <c r="DD116" i="1" s="1"/>
  <c r="EF116" i="1"/>
  <c r="DU140" i="1"/>
  <c r="EF121" i="1"/>
  <c r="CE121" i="1"/>
  <c r="DD121" i="1" s="1"/>
  <c r="AG120" i="1"/>
  <c r="BF120" i="1" s="1"/>
  <c r="CE102" i="1"/>
  <c r="DD102" i="1" s="1"/>
  <c r="EF102" i="1"/>
  <c r="DY140" i="1"/>
  <c r="BP129" i="1"/>
  <c r="BP131" i="1" s="1"/>
  <c r="EE106" i="1"/>
  <c r="AG106" i="1"/>
  <c r="BF106" i="1" s="1"/>
  <c r="BM134" i="1"/>
  <c r="EB129" i="1"/>
  <c r="AH133" i="1"/>
  <c r="AH129" i="1"/>
  <c r="AG98" i="1"/>
  <c r="BF98" i="1" s="1"/>
  <c r="EE98" i="1"/>
  <c r="EF105" i="1"/>
  <c r="CE105" i="1"/>
  <c r="DD105" i="1" s="1"/>
  <c r="BV133" i="1"/>
  <c r="BV140" i="1" s="1"/>
  <c r="BV129" i="1"/>
  <c r="BV131" i="1" s="1"/>
  <c r="BV141" i="1" s="1"/>
  <c r="EF95" i="1"/>
  <c r="CE95" i="1"/>
  <c r="DD95" i="1" s="1"/>
  <c r="EE108" i="1"/>
  <c r="AG108" i="1"/>
  <c r="BF108" i="1" s="1"/>
  <c r="DN140" i="1"/>
  <c r="BM129" i="1"/>
  <c r="BM131" i="1" s="1"/>
  <c r="EF84" i="1"/>
  <c r="CE84" i="1"/>
  <c r="DD84" i="1" s="1"/>
  <c r="CE70" i="1"/>
  <c r="DD70" i="1" s="1"/>
  <c r="ED87" i="1"/>
  <c r="I87" i="1"/>
  <c r="CW140" i="1"/>
  <c r="CW141" i="1" s="1"/>
  <c r="BE142" i="1"/>
  <c r="EE121" i="1"/>
  <c r="AG121" i="1"/>
  <c r="BF121" i="1" s="1"/>
  <c r="DE117" i="1"/>
  <c r="EF117" i="1" s="1"/>
  <c r="DF134" i="1"/>
  <c r="DE103" i="1"/>
  <c r="EE102" i="1"/>
  <c r="AG102" i="1"/>
  <c r="BF102" i="1" s="1"/>
  <c r="DM129" i="1"/>
  <c r="CF129" i="1"/>
  <c r="CE98" i="1"/>
  <c r="DD98" i="1" s="1"/>
  <c r="BX140" i="1"/>
  <c r="BG120" i="1"/>
  <c r="EE120" i="1" s="1"/>
  <c r="ED115" i="1"/>
  <c r="I115" i="1"/>
  <c r="ED114" i="1"/>
  <c r="I114" i="1"/>
  <c r="ED113" i="1"/>
  <c r="I113" i="1"/>
  <c r="ED105" i="1"/>
  <c r="I105" i="1"/>
  <c r="BI134" i="1"/>
  <c r="DT140" i="1"/>
  <c r="DT141" i="1" s="1"/>
  <c r="DL140" i="1"/>
  <c r="CA140" i="1"/>
  <c r="BK140" i="1"/>
  <c r="G129" i="1"/>
  <c r="ED129" i="1" s="1"/>
  <c r="ED98" i="1"/>
  <c r="I98" i="1"/>
  <c r="EF93" i="1"/>
  <c r="CE93" i="1"/>
  <c r="DD93" i="1" s="1"/>
  <c r="CE122" i="1"/>
  <c r="DD122" i="1" s="1"/>
  <c r="EF122" i="1"/>
  <c r="EF103" i="1"/>
  <c r="CE103" i="1"/>
  <c r="DD103" i="1" s="1"/>
  <c r="CE115" i="1"/>
  <c r="DD115" i="1" s="1"/>
  <c r="EF115" i="1"/>
  <c r="DO134" i="1"/>
  <c r="DO140" i="1" s="1"/>
  <c r="CG140" i="1"/>
  <c r="CG141" i="1" s="1"/>
  <c r="CF133" i="1"/>
  <c r="BU133" i="1"/>
  <c r="BU140" i="1" s="1"/>
  <c r="BU129" i="1"/>
  <c r="BU131" i="1" s="1"/>
  <c r="BM140" i="1"/>
  <c r="BG117" i="1"/>
  <c r="EE117" i="1" s="1"/>
  <c r="CE91" i="1"/>
  <c r="DD91" i="1" s="1"/>
  <c r="CE63" i="1"/>
  <c r="DD63" i="1" s="1"/>
  <c r="EE84" i="1"/>
  <c r="AG84" i="1"/>
  <c r="BF84" i="1" s="1"/>
  <c r="EE80" i="1"/>
  <c r="AG80" i="1"/>
  <c r="BF80" i="1" s="1"/>
  <c r="BH97" i="1"/>
  <c r="BH131" i="1" s="1"/>
  <c r="DX77" i="1"/>
  <c r="DX131" i="1" s="1"/>
  <c r="AG117" i="1"/>
  <c r="BF117" i="1" s="1"/>
  <c r="CE113" i="1"/>
  <c r="DD113" i="1" s="1"/>
  <c r="BG89" i="1"/>
  <c r="EE89" i="1" s="1"/>
  <c r="DY97" i="1"/>
  <c r="BZ129" i="1"/>
  <c r="CD97" i="1"/>
  <c r="CX77" i="1"/>
  <c r="CX131" i="1" s="1"/>
  <c r="AG66" i="1"/>
  <c r="BF66" i="1" s="1"/>
  <c r="EE66" i="1"/>
  <c r="CE59" i="1"/>
  <c r="DD59" i="1" s="1"/>
  <c r="EF59" i="1"/>
  <c r="I76" i="1"/>
  <c r="DG139" i="1"/>
  <c r="DG77" i="1"/>
  <c r="DM137" i="1"/>
  <c r="DM140" i="1" s="1"/>
  <c r="DM50" i="1"/>
  <c r="DM131" i="1" s="1"/>
  <c r="BG56" i="1"/>
  <c r="EE56" i="1" s="1"/>
  <c r="CE76" i="1"/>
  <c r="DD76" i="1" s="1"/>
  <c r="DC77" i="1"/>
  <c r="DC131" i="1" s="1"/>
  <c r="G77" i="1"/>
  <c r="ED77" i="1" s="1"/>
  <c r="ED51" i="1"/>
  <c r="DE51" i="1"/>
  <c r="EF51" i="1" s="1"/>
  <c r="AG35" i="1"/>
  <c r="BF35" i="1" s="1"/>
  <c r="DR131" i="1"/>
  <c r="DR141" i="1" s="1"/>
  <c r="CB131" i="1"/>
  <c r="BL131" i="1"/>
  <c r="BL141" i="1" s="1"/>
  <c r="AF131" i="1"/>
  <c r="AF141" i="1" s="1"/>
  <c r="EE15" i="1"/>
  <c r="AG15" i="1"/>
  <c r="BF15" i="1" s="1"/>
  <c r="AH136" i="1"/>
  <c r="CE38" i="1"/>
  <c r="DD38" i="1" s="1"/>
  <c r="EF38" i="1"/>
  <c r="CE27" i="1"/>
  <c r="DD27" i="1" s="1"/>
  <c r="DP50" i="1"/>
  <c r="DP131" i="1" s="1"/>
  <c r="DP141" i="1" s="1"/>
  <c r="BO50" i="1"/>
  <c r="BO131" i="1" s="1"/>
  <c r="DV131" i="1"/>
  <c r="DV141" i="1" s="1"/>
  <c r="BS24" i="1"/>
  <c r="BS131" i="1" s="1"/>
  <c r="AG41" i="1"/>
  <c r="BF41" i="1" s="1"/>
  <c r="EE41" i="1"/>
  <c r="AG29" i="1"/>
  <c r="BF29" i="1" s="1"/>
  <c r="EE29" i="1"/>
  <c r="G50" i="1"/>
  <c r="ED50" i="1" s="1"/>
  <c r="DJ131" i="1"/>
  <c r="DJ141" i="1" s="1"/>
  <c r="BJ131" i="1"/>
  <c r="EF16" i="1"/>
  <c r="CE16" i="1"/>
  <c r="DD16" i="1" s="1"/>
  <c r="EB138" i="1"/>
  <c r="EB24" i="1"/>
  <c r="CD77" i="1"/>
  <c r="EE36" i="1"/>
  <c r="AG36" i="1"/>
  <c r="BF36" i="1" s="1"/>
  <c r="AG28" i="1"/>
  <c r="BF28" i="1" s="1"/>
  <c r="DZ50" i="1"/>
  <c r="DZ131" i="1" s="1"/>
  <c r="DZ141" i="1" s="1"/>
  <c r="BQ131" i="1"/>
  <c r="BQ141" i="1" s="1"/>
  <c r="DW138" i="1"/>
  <c r="DW24" i="1"/>
  <c r="CC138" i="1"/>
  <c r="BG138" i="1" s="1"/>
  <c r="DQ24" i="1"/>
  <c r="DQ131" i="1" s="1"/>
  <c r="ED127" i="1"/>
  <c r="I127" i="1"/>
  <c r="CE106" i="1"/>
  <c r="DD106" i="1" s="1"/>
  <c r="EF106" i="1"/>
  <c r="ED104" i="1"/>
  <c r="AG104" i="1"/>
  <c r="BF104" i="1" s="1"/>
  <c r="CE104" i="1"/>
  <c r="DD104" i="1" s="1"/>
  <c r="CC133" i="1"/>
  <c r="CC129" i="1"/>
  <c r="EE93" i="1"/>
  <c r="AG93" i="1"/>
  <c r="BF93" i="1" s="1"/>
  <c r="EE87" i="1"/>
  <c r="AG87" i="1"/>
  <c r="BF87" i="1" s="1"/>
  <c r="BH135" i="1"/>
  <c r="BG135" i="1" s="1"/>
  <c r="EE73" i="1"/>
  <c r="AG73" i="1"/>
  <c r="BF73" i="1" s="1"/>
  <c r="EF52" i="1"/>
  <c r="CE52" i="1"/>
  <c r="DD52" i="1" s="1"/>
  <c r="DE91" i="1"/>
  <c r="EF91" i="1" s="1"/>
  <c r="ED90" i="1"/>
  <c r="CE90" i="1"/>
  <c r="DD90" i="1" s="1"/>
  <c r="AG89" i="1"/>
  <c r="BF89" i="1" s="1"/>
  <c r="CE60" i="1"/>
  <c r="DD60" i="1" s="1"/>
  <c r="EF60" i="1"/>
  <c r="CE53" i="1"/>
  <c r="DD53" i="1" s="1"/>
  <c r="ED53" i="1"/>
  <c r="I91" i="1"/>
  <c r="BY77" i="1"/>
  <c r="BY131" i="1" s="1"/>
  <c r="I68" i="1"/>
  <c r="AG90" i="1"/>
  <c r="BF90" i="1" s="1"/>
  <c r="AG53" i="1"/>
  <c r="BF53" i="1" s="1"/>
  <c r="DE48" i="1"/>
  <c r="EF48" i="1" s="1"/>
  <c r="EE27" i="1"/>
  <c r="AG27" i="1"/>
  <c r="BF27" i="1" s="1"/>
  <c r="AH137" i="1"/>
  <c r="CR131" i="1"/>
  <c r="CR141" i="1" s="1"/>
  <c r="BX131" i="1"/>
  <c r="EE10" i="1"/>
  <c r="AG10" i="1"/>
  <c r="BF10" i="1" s="1"/>
  <c r="I35" i="1"/>
  <c r="BG28" i="1"/>
  <c r="EE28" i="1" s="1"/>
  <c r="CF50" i="1"/>
  <c r="DL131" i="1"/>
  <c r="AH139" i="1"/>
  <c r="CD137" i="1"/>
  <c r="CD50" i="1"/>
  <c r="BG25" i="1"/>
  <c r="EB137" i="1"/>
  <c r="EB50" i="1"/>
  <c r="DF131" i="1"/>
  <c r="AL141" i="1"/>
  <c r="EE16" i="1"/>
  <c r="AG16" i="1"/>
  <c r="BF16" i="1" s="1"/>
  <c r="EE13" i="1"/>
  <c r="AG13" i="1"/>
  <c r="BF13" i="1" s="1"/>
  <c r="AH138" i="1"/>
  <c r="AG6" i="1"/>
  <c r="BF6" i="1" s="1"/>
  <c r="AH24" i="1"/>
  <c r="DE43" i="1"/>
  <c r="EF43" i="1" s="1"/>
  <c r="I27" i="1"/>
  <c r="DY131" i="1"/>
  <c r="DY141" i="1" s="1"/>
  <c r="CC131" i="1"/>
  <c r="BE131" i="1"/>
  <c r="BE141" i="1" s="1"/>
  <c r="U141" i="1"/>
  <c r="DS131" i="1"/>
  <c r="DS141" i="1" s="1"/>
  <c r="DK131" i="1"/>
  <c r="I7" i="1"/>
  <c r="CE37" i="1"/>
  <c r="DD37" i="1" s="1"/>
  <c r="EF7" i="1"/>
  <c r="CE7" i="1"/>
  <c r="DD7" i="1" s="1"/>
  <c r="DC141" i="1" l="1"/>
  <c r="BX141" i="1"/>
  <c r="CB141" i="1"/>
  <c r="BU141" i="1"/>
  <c r="BI140" i="1"/>
  <c r="BO140" i="1"/>
  <c r="DK141" i="1"/>
  <c r="DL141" i="1"/>
  <c r="DN141" i="1"/>
  <c r="BG50" i="2"/>
  <c r="BP141" i="1"/>
  <c r="EG30" i="2"/>
  <c r="CX140" i="1"/>
  <c r="EF123" i="1"/>
  <c r="I97" i="1"/>
  <c r="CC140" i="1"/>
  <c r="CX141" i="1"/>
  <c r="BM141" i="1"/>
  <c r="DH141" i="1"/>
  <c r="EG45" i="2"/>
  <c r="EG114" i="2"/>
  <c r="DN131" i="2"/>
  <c r="BI140" i="2"/>
  <c r="BZ131" i="2"/>
  <c r="DD55" i="2"/>
  <c r="BO141" i="1"/>
  <c r="BG139" i="1"/>
  <c r="I77" i="1"/>
  <c r="DO140" i="2"/>
  <c r="CF77" i="2"/>
  <c r="EF71" i="2"/>
  <c r="DD98" i="2"/>
  <c r="EG98" i="2"/>
  <c r="DD102" i="2"/>
  <c r="EG102" i="2"/>
  <c r="DD43" i="2"/>
  <c r="EG43" i="2"/>
  <c r="DD72" i="2"/>
  <c r="EG72" i="2"/>
  <c r="DD70" i="2"/>
  <c r="EG70" i="2"/>
  <c r="CE69" i="2"/>
  <c r="EF69" i="2"/>
  <c r="DD91" i="2"/>
  <c r="EG91" i="2"/>
  <c r="DD28" i="2"/>
  <c r="EG28" i="2"/>
  <c r="DD83" i="2"/>
  <c r="EG83" i="2"/>
  <c r="DD37" i="2"/>
  <c r="EG37" i="2"/>
  <c r="DD105" i="2"/>
  <c r="EG105" i="2"/>
  <c r="CF129" i="2"/>
  <c r="DD41" i="2"/>
  <c r="EG41" i="2"/>
  <c r="DD85" i="2"/>
  <c r="EG85" i="2"/>
  <c r="DD51" i="2"/>
  <c r="EG51" i="2"/>
  <c r="DD67" i="2"/>
  <c r="EG67" i="2"/>
  <c r="CC140" i="2"/>
  <c r="DD104" i="2"/>
  <c r="EG104" i="2"/>
  <c r="DD126" i="2"/>
  <c r="EG126" i="2"/>
  <c r="DD53" i="2"/>
  <c r="EG53" i="2"/>
  <c r="DD90" i="2"/>
  <c r="EG90" i="2"/>
  <c r="DD106" i="2"/>
  <c r="EG106" i="2"/>
  <c r="DD35" i="2"/>
  <c r="EG35" i="2"/>
  <c r="DD46" i="2"/>
  <c r="EG46" i="2"/>
  <c r="DD93" i="2"/>
  <c r="EG93" i="2"/>
  <c r="DD29" i="2"/>
  <c r="EG29" i="2"/>
  <c r="CE68" i="2"/>
  <c r="EF68" i="2"/>
  <c r="DD32" i="2"/>
  <c r="EG32" i="2"/>
  <c r="DD40" i="2"/>
  <c r="EG40" i="2"/>
  <c r="DD120" i="2"/>
  <c r="EG120" i="2"/>
  <c r="DD122" i="2"/>
  <c r="EG122" i="2"/>
  <c r="DD27" i="2"/>
  <c r="EG27" i="2"/>
  <c r="BY131" i="2"/>
  <c r="DD60" i="2"/>
  <c r="EG60" i="2"/>
  <c r="DD115" i="2"/>
  <c r="EG115" i="2"/>
  <c r="EF24" i="2"/>
  <c r="AH195" i="2"/>
  <c r="DD33" i="2"/>
  <c r="EG33" i="2"/>
  <c r="DD113" i="2"/>
  <c r="EG113" i="2"/>
  <c r="DD95" i="2"/>
  <c r="EG95" i="2"/>
  <c r="DD96" i="2"/>
  <c r="EG96" i="2"/>
  <c r="DD101" i="2"/>
  <c r="EG101" i="2"/>
  <c r="AH198" i="2"/>
  <c r="BF198" i="2" s="1"/>
  <c r="EF97" i="2"/>
  <c r="EF50" i="2"/>
  <c r="AH196" i="2"/>
  <c r="BF196" i="2" s="1"/>
  <c r="DD58" i="2"/>
  <c r="EG58" i="2"/>
  <c r="DD65" i="2"/>
  <c r="EG65" i="2"/>
  <c r="DD44" i="2"/>
  <c r="EG44" i="2"/>
  <c r="DD38" i="2"/>
  <c r="EG38" i="2"/>
  <c r="DD79" i="2"/>
  <c r="EG79" i="2"/>
  <c r="DD49" i="2"/>
  <c r="EG49" i="2"/>
  <c r="DD61" i="2"/>
  <c r="EG61" i="2"/>
  <c r="DD103" i="2"/>
  <c r="EG103" i="2"/>
  <c r="DD47" i="2"/>
  <c r="EG47" i="2"/>
  <c r="DD52" i="2"/>
  <c r="EG52" i="2"/>
  <c r="DD66" i="2"/>
  <c r="EG66" i="2"/>
  <c r="DD117" i="2"/>
  <c r="EG117" i="2"/>
  <c r="DD128" i="2"/>
  <c r="EG128" i="2"/>
  <c r="DD107" i="2"/>
  <c r="EG107" i="2"/>
  <c r="DD116" i="2"/>
  <c r="EG116" i="2"/>
  <c r="DD76" i="2"/>
  <c r="EG76" i="2"/>
  <c r="DD88" i="2"/>
  <c r="EG88" i="2"/>
  <c r="DD74" i="2"/>
  <c r="EG74" i="2"/>
  <c r="G137" i="2"/>
  <c r="CE137" i="2" s="1"/>
  <c r="EE97" i="2"/>
  <c r="EE131" i="2"/>
  <c r="BO131" i="2"/>
  <c r="CE50" i="2"/>
  <c r="DE129" i="2"/>
  <c r="CD140" i="2"/>
  <c r="DX140" i="2"/>
  <c r="DE24" i="2"/>
  <c r="BJ141" i="1"/>
  <c r="I50" i="1"/>
  <c r="BY141" i="1"/>
  <c r="DM141" i="1"/>
  <c r="DX141" i="1"/>
  <c r="BT141" i="1"/>
  <c r="EF67" i="1"/>
  <c r="CE67" i="1"/>
  <c r="DD67" i="1" s="1"/>
  <c r="DG140" i="1"/>
  <c r="BG137" i="1"/>
  <c r="BR131" i="1"/>
  <c r="BS141" i="1"/>
  <c r="DE136" i="1"/>
  <c r="EF136" i="1" s="1"/>
  <c r="DE50" i="1"/>
  <c r="BH131" i="2"/>
  <c r="H136" i="2"/>
  <c r="DF131" i="2"/>
  <c r="DM131" i="2"/>
  <c r="DQ140" i="2"/>
  <c r="G135" i="2"/>
  <c r="CE135" i="2" s="1"/>
  <c r="BG24" i="2"/>
  <c r="I24" i="2"/>
  <c r="G133" i="2"/>
  <c r="AG133" i="2" s="1"/>
  <c r="BF133" i="2" s="1"/>
  <c r="EA140" i="2"/>
  <c r="DE137" i="2"/>
  <c r="I77" i="2"/>
  <c r="BG97" i="2"/>
  <c r="H138" i="2"/>
  <c r="I50" i="2"/>
  <c r="EB140" i="2"/>
  <c r="DG140" i="2"/>
  <c r="BG137" i="2"/>
  <c r="BG135" i="2"/>
  <c r="DW140" i="2"/>
  <c r="CE77" i="2"/>
  <c r="G138" i="2"/>
  <c r="AG138" i="2" s="1"/>
  <c r="BF138" i="2" s="1"/>
  <c r="H134" i="2"/>
  <c r="G131" i="2"/>
  <c r="AG97" i="2"/>
  <c r="BF97" i="2" s="1"/>
  <c r="BH140" i="2"/>
  <c r="BG133" i="2"/>
  <c r="CF131" i="2"/>
  <c r="CE24" i="2"/>
  <c r="CE97" i="2"/>
  <c r="DE97" i="2"/>
  <c r="BG138" i="2"/>
  <c r="DF140" i="2"/>
  <c r="DE133" i="2"/>
  <c r="AH140" i="2"/>
  <c r="CE129" i="2"/>
  <c r="G134" i="2"/>
  <c r="EB131" i="2"/>
  <c r="DE50" i="2"/>
  <c r="DG131" i="2"/>
  <c r="H139" i="2"/>
  <c r="AH131" i="2"/>
  <c r="AG24" i="2"/>
  <c r="BF24" i="2" s="1"/>
  <c r="CD131" i="2"/>
  <c r="BG139" i="2"/>
  <c r="CE123" i="2"/>
  <c r="CX140" i="2"/>
  <c r="CF138" i="2"/>
  <c r="CF140" i="2" s="1"/>
  <c r="BG77" i="2"/>
  <c r="AG50" i="2"/>
  <c r="BF50" i="2" s="1"/>
  <c r="BG134" i="2"/>
  <c r="AG129" i="2"/>
  <c r="BF129" i="2" s="1"/>
  <c r="DM140" i="2"/>
  <c r="DE134" i="2"/>
  <c r="DW77" i="2"/>
  <c r="DW131" i="2" s="1"/>
  <c r="DE67" i="2"/>
  <c r="BZ140" i="2"/>
  <c r="DE138" i="2"/>
  <c r="H133" i="2"/>
  <c r="BG129" i="2"/>
  <c r="H137" i="2"/>
  <c r="DE139" i="2"/>
  <c r="CE71" i="2"/>
  <c r="H135" i="2"/>
  <c r="AG77" i="2"/>
  <c r="BF77" i="2" s="1"/>
  <c r="G136" i="2"/>
  <c r="BR131" i="2"/>
  <c r="G139" i="2"/>
  <c r="I129" i="2"/>
  <c r="I131" i="2" s="1"/>
  <c r="AH131" i="1"/>
  <c r="EE24" i="1"/>
  <c r="AG24" i="1"/>
  <c r="BF24" i="1" s="1"/>
  <c r="BG50" i="1"/>
  <c r="EE50" i="1" s="1"/>
  <c r="EE25" i="1"/>
  <c r="CE77" i="1"/>
  <c r="DD77" i="1" s="1"/>
  <c r="AH140" i="1"/>
  <c r="BI141" i="1"/>
  <c r="DO141" i="1"/>
  <c r="CE50" i="1"/>
  <c r="CE97" i="1"/>
  <c r="DD97" i="1" s="1"/>
  <c r="H138" i="1"/>
  <c r="G133" i="1"/>
  <c r="CE133" i="1" s="1"/>
  <c r="DD133" i="1" s="1"/>
  <c r="G137" i="1"/>
  <c r="ED137" i="1" s="1"/>
  <c r="H137" i="1"/>
  <c r="EF6" i="1"/>
  <c r="BR141" i="1"/>
  <c r="DE135" i="1"/>
  <c r="EF135" i="1" s="1"/>
  <c r="BG134" i="1"/>
  <c r="EE137" i="1"/>
  <c r="DQ141" i="1"/>
  <c r="DE137" i="1"/>
  <c r="CF137" i="1"/>
  <c r="CV140" i="1"/>
  <c r="CV141" i="1" s="1"/>
  <c r="G135" i="1"/>
  <c r="AG135" i="1" s="1"/>
  <c r="BF135" i="1" s="1"/>
  <c r="H134" i="1"/>
  <c r="H139" i="1"/>
  <c r="G138" i="1"/>
  <c r="AG138" i="1" s="1"/>
  <c r="BF138" i="1" s="1"/>
  <c r="G139" i="1"/>
  <c r="AG139" i="1" s="1"/>
  <c r="BF139" i="1" s="1"/>
  <c r="CF131" i="1"/>
  <c r="EF24" i="1"/>
  <c r="CE24" i="1"/>
  <c r="DD24" i="1" s="1"/>
  <c r="BZ131" i="1"/>
  <c r="BZ141" i="1" s="1"/>
  <c r="BK141" i="1"/>
  <c r="I24" i="1"/>
  <c r="EB77" i="1"/>
  <c r="EB131" i="1" s="1"/>
  <c r="DE129" i="1"/>
  <c r="EF129" i="1" s="1"/>
  <c r="BH140" i="1"/>
  <c r="BH141" i="1" s="1"/>
  <c r="BG133" i="1"/>
  <c r="BG140" i="1" s="1"/>
  <c r="AH142" i="1"/>
  <c r="EE138" i="1"/>
  <c r="CE129" i="1"/>
  <c r="DD129" i="1" s="1"/>
  <c r="AG77" i="1"/>
  <c r="BF77" i="1" s="1"/>
  <c r="EE6" i="1"/>
  <c r="EE139" i="1"/>
  <c r="EF50" i="1"/>
  <c r="EE136" i="1"/>
  <c r="I129" i="1"/>
  <c r="I135" i="1" s="1"/>
  <c r="DE134" i="1"/>
  <c r="EF134" i="1" s="1"/>
  <c r="DG131" i="1"/>
  <c r="DG141" i="1" s="1"/>
  <c r="DW77" i="1"/>
  <c r="DE69" i="1"/>
  <c r="EF69" i="1" s="1"/>
  <c r="G131" i="1"/>
  <c r="ED24" i="1"/>
  <c r="H133" i="1"/>
  <c r="H135" i="1"/>
  <c r="CA141" i="1"/>
  <c r="EB139" i="1"/>
  <c r="EB140" i="1" s="1"/>
  <c r="AG97" i="1"/>
  <c r="BF97" i="1" s="1"/>
  <c r="BG97" i="1"/>
  <c r="EE97" i="1" s="1"/>
  <c r="BG77" i="1"/>
  <c r="CF140" i="1"/>
  <c r="AG129" i="1"/>
  <c r="BF129" i="1" s="1"/>
  <c r="DE138" i="1"/>
  <c r="EF138" i="1" s="1"/>
  <c r="DD50" i="1"/>
  <c r="EF85" i="1"/>
  <c r="DE97" i="1"/>
  <c r="EF97" i="1" s="1"/>
  <c r="CE69" i="1"/>
  <c r="DD69" i="1" s="1"/>
  <c r="CE46" i="1"/>
  <c r="DD46" i="1" s="1"/>
  <c r="EF46" i="1"/>
  <c r="G134" i="1"/>
  <c r="AG134" i="1" s="1"/>
  <c r="BF134" i="1" s="1"/>
  <c r="G136" i="1"/>
  <c r="AG136" i="1" s="1"/>
  <c r="BF136" i="1" s="1"/>
  <c r="H136" i="1"/>
  <c r="DU141" i="1"/>
  <c r="CD131" i="1"/>
  <c r="EE135" i="1"/>
  <c r="DF140" i="1"/>
  <c r="DF141" i="1" s="1"/>
  <c r="DE133" i="1"/>
  <c r="CD140" i="1"/>
  <c r="BG129" i="1"/>
  <c r="EE129" i="1" s="1"/>
  <c r="EE134" i="1"/>
  <c r="AG50" i="1"/>
  <c r="BF50" i="1" s="1"/>
  <c r="DW139" i="1"/>
  <c r="I134" i="1" l="1"/>
  <c r="BG131" i="2"/>
  <c r="DD129" i="2"/>
  <c r="BG199" i="2"/>
  <c r="EG129" i="2"/>
  <c r="DD71" i="2"/>
  <c r="EG71" i="2"/>
  <c r="BF195" i="2"/>
  <c r="DD123" i="2"/>
  <c r="EG123" i="2"/>
  <c r="DD97" i="2"/>
  <c r="BG198" i="2"/>
  <c r="EG97" i="2"/>
  <c r="DD50" i="2"/>
  <c r="BG196" i="2"/>
  <c r="EG50" i="2"/>
  <c r="DD24" i="2"/>
  <c r="BG195" i="2"/>
  <c r="EG24" i="2"/>
  <c r="DD77" i="2"/>
  <c r="BG197" i="2"/>
  <c r="EG77" i="2"/>
  <c r="DD68" i="2"/>
  <c r="EG68" i="2"/>
  <c r="AH199" i="2"/>
  <c r="BF199" i="2" s="1"/>
  <c r="EF129" i="2"/>
  <c r="DD69" i="2"/>
  <c r="EG69" i="2"/>
  <c r="AH197" i="2"/>
  <c r="BF197" i="2" s="1"/>
  <c r="EF77" i="2"/>
  <c r="EF131" i="2" s="1"/>
  <c r="DD135" i="2"/>
  <c r="EG136" i="2"/>
  <c r="DD137" i="2"/>
  <c r="EG138" i="2"/>
  <c r="AG137" i="2"/>
  <c r="BF137" i="2" s="1"/>
  <c r="CE133" i="2"/>
  <c r="DE139" i="1"/>
  <c r="EF139" i="1" s="1"/>
  <c r="I138" i="1"/>
  <c r="BG131" i="1"/>
  <c r="BG141" i="1" s="1"/>
  <c r="DE77" i="1"/>
  <c r="DE131" i="1" s="1"/>
  <c r="EF131" i="1" s="1"/>
  <c r="AG135" i="2"/>
  <c r="BF135" i="2" s="1"/>
  <c r="I139" i="2"/>
  <c r="I137" i="2"/>
  <c r="AG137" i="1"/>
  <c r="BF137" i="1" s="1"/>
  <c r="AG139" i="2"/>
  <c r="BF139" i="2" s="1"/>
  <c r="CE138" i="2"/>
  <c r="CE134" i="2"/>
  <c r="I136" i="2"/>
  <c r="CE131" i="2"/>
  <c r="DE77" i="2"/>
  <c r="DE131" i="2" s="1"/>
  <c r="AG131" i="2"/>
  <c r="BF131" i="2" s="1"/>
  <c r="I135" i="2"/>
  <c r="H140" i="2"/>
  <c r="I133" i="2"/>
  <c r="BG140" i="2"/>
  <c r="I134" i="2"/>
  <c r="CE139" i="2"/>
  <c r="CE136" i="2"/>
  <c r="AG136" i="2"/>
  <c r="BF136" i="2" s="1"/>
  <c r="G140" i="2"/>
  <c r="AG134" i="2"/>
  <c r="BF134" i="2" s="1"/>
  <c r="DE140" i="2"/>
  <c r="I138" i="2"/>
  <c r="EF77" i="1"/>
  <c r="DE140" i="1"/>
  <c r="EF140" i="1" s="1"/>
  <c r="CD141" i="1"/>
  <c r="EE77" i="1"/>
  <c r="I131" i="1"/>
  <c r="EF137" i="1"/>
  <c r="CE137" i="1"/>
  <c r="DD137" i="1" s="1"/>
  <c r="EE133" i="1"/>
  <c r="DW140" i="1"/>
  <c r="ED134" i="1"/>
  <c r="CE134" i="1"/>
  <c r="DD134" i="1" s="1"/>
  <c r="EF133" i="1"/>
  <c r="I139" i="1"/>
  <c r="H140" i="1"/>
  <c r="CF141" i="1"/>
  <c r="CE131" i="1"/>
  <c r="I133" i="1"/>
  <c r="EE140" i="1"/>
  <c r="ED139" i="1"/>
  <c r="CE139" i="1"/>
  <c r="DD139" i="1" s="1"/>
  <c r="ED135" i="1"/>
  <c r="CE135" i="1"/>
  <c r="DD135" i="1" s="1"/>
  <c r="DW131" i="1"/>
  <c r="I137" i="1"/>
  <c r="G140" i="1"/>
  <c r="ED140" i="1" s="1"/>
  <c r="ED133" i="1"/>
  <c r="AH141" i="1"/>
  <c r="EE131" i="1"/>
  <c r="AG131" i="1"/>
  <c r="BF131" i="1" s="1"/>
  <c r="ED136" i="1"/>
  <c r="CE136" i="1"/>
  <c r="DD136" i="1" s="1"/>
  <c r="ED131" i="1"/>
  <c r="EB141" i="1"/>
  <c r="ED138" i="1"/>
  <c r="CE138" i="1"/>
  <c r="DD138" i="1" s="1"/>
  <c r="AG133" i="1"/>
  <c r="BF133" i="1" s="1"/>
  <c r="I136" i="1"/>
  <c r="AH200" i="2" l="1"/>
  <c r="AI200" i="2" s="1"/>
  <c r="AJ200" i="2" s="1"/>
  <c r="AK200" i="2" s="1"/>
  <c r="AL200" i="2" s="1"/>
  <c r="AM200" i="2" s="1"/>
  <c r="AN200" i="2" s="1"/>
  <c r="AO200" i="2" s="1"/>
  <c r="AP200" i="2" s="1"/>
  <c r="AQ200" i="2" s="1"/>
  <c r="AR200" i="2" s="1"/>
  <c r="AS200" i="2" s="1"/>
  <c r="AT200" i="2" s="1"/>
  <c r="AU200" i="2" s="1"/>
  <c r="AV200" i="2" s="1"/>
  <c r="AW200" i="2" s="1"/>
  <c r="AX200" i="2" s="1"/>
  <c r="AY200" i="2" s="1"/>
  <c r="AZ200" i="2" s="1"/>
  <c r="BA200" i="2" s="1"/>
  <c r="BB200" i="2" s="1"/>
  <c r="BC200" i="2" s="1"/>
  <c r="BD200" i="2" s="1"/>
  <c r="BE200" i="2" s="1"/>
  <c r="BF200" i="2"/>
  <c r="BG200" i="2"/>
  <c r="EG131" i="2"/>
  <c r="DD136" i="2"/>
  <c r="EG137" i="2"/>
  <c r="DD138" i="2"/>
  <c r="EG139" i="2"/>
  <c r="DD139" i="2"/>
  <c r="EG140" i="2"/>
  <c r="DD134" i="2"/>
  <c r="EG135" i="2"/>
  <c r="DD133" i="2"/>
  <c r="EG134" i="2"/>
  <c r="DW141" i="1"/>
  <c r="AG140" i="2"/>
  <c r="BF140" i="2" s="1"/>
  <c r="DD131" i="2"/>
  <c r="G141" i="1"/>
  <c r="CE140" i="2"/>
  <c r="I140" i="2"/>
  <c r="AG140" i="1"/>
  <c r="BF140" i="1" s="1"/>
  <c r="CE140" i="1"/>
  <c r="DD140" i="1" s="1"/>
  <c r="DD131" i="1"/>
  <c r="DE141" i="1"/>
  <c r="I140" i="1"/>
  <c r="DD140" i="2" l="1"/>
  <c r="EG141" i="2"/>
  <c r="DD141" i="1"/>
  <c r="CE141" i="1"/>
</calcChain>
</file>

<file path=xl/comments1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comments2.xml><?xml version="1.0" encoding="utf-8"?>
<comments xmlns="http://schemas.openxmlformats.org/spreadsheetml/2006/main">
  <authors>
    <author>Planeación</author>
    <author>Usuario de Windows</author>
  </authors>
  <commentList>
    <comment ref="AD43" authorId="0" shapeId="0">
      <text>
        <r>
          <rPr>
            <b/>
            <sz val="11"/>
            <color indexed="81"/>
            <rFont val="Tahoma"/>
            <family val="2"/>
          </rPr>
          <t>Planeación:</t>
        </r>
        <r>
          <rPr>
            <sz val="11"/>
            <color indexed="81"/>
            <rFont val="Tahoma"/>
            <family val="2"/>
          </rPr>
          <t xml:space="preserve">
62,217,986 Agroindustri
48.013.200 salud
88.261.395 Educación</t>
        </r>
      </text>
    </comment>
    <comment ref="M103" authorId="1" shapeId="0">
      <text>
        <r>
          <rPr>
            <sz val="9"/>
            <color indexed="81"/>
            <rFont val="Tahoma"/>
            <family val="2"/>
          </rPr>
          <t>saldo impresora brayle $27.498.356</t>
        </r>
      </text>
    </comment>
    <comment ref="AA103" authorId="1" shapeId="0">
      <text>
        <r>
          <rPr>
            <sz val="9"/>
            <color indexed="81"/>
            <rFont val="Tahoma"/>
            <family val="2"/>
          </rPr>
          <t xml:space="preserve">Dotación de tables para estudiantes afectados por el covid 19.
</t>
        </r>
      </text>
    </comment>
    <comment ref="M109" authorId="1" shapeId="0">
      <text>
        <r>
          <rPr>
            <sz val="9"/>
            <color indexed="81"/>
            <rFont val="Tahoma"/>
            <family val="2"/>
          </rPr>
          <t xml:space="preserve"> computador estudiantes 
</t>
        </r>
      </text>
    </comment>
    <comment ref="AA115" authorId="1" shapeId="0">
      <text>
        <r>
          <rPr>
            <sz val="9"/>
            <color indexed="81"/>
            <rFont val="Tahoma"/>
            <family val="2"/>
          </rPr>
          <t xml:space="preserve">conectividad estudiantaes afectados por covid 19.
</t>
        </r>
      </text>
    </comment>
  </commentList>
</comments>
</file>

<file path=xl/sharedStrings.xml><?xml version="1.0" encoding="utf-8"?>
<sst xmlns="http://schemas.openxmlformats.org/spreadsheetml/2006/main" count="1137" uniqueCount="406">
  <si>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</si>
  <si>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</si>
  <si>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</si>
  <si>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</si>
  <si>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</si>
  <si>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</si>
  <si>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</si>
  <si>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</si>
  <si>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</si>
  <si>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</si>
  <si>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</si>
  <si>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</si>
  <si>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</si>
  <si>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</si>
  <si>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</si>
  <si>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</si>
  <si>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</si>
  <si>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</si>
  <si>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</si>
  <si>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</si>
  <si>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</si>
  <si>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</si>
  <si>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</si>
  <si>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</si>
  <si>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</si>
  <si>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</si>
  <si>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</si>
  <si>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</si>
  <si>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</si>
  <si>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</si>
  <si>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</si>
  <si>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</si>
  <si>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</si>
  <si>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</si>
  <si>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</si>
  <si>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</si>
  <si>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</si>
  <si>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</si>
  <si>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</si>
  <si>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</si>
  <si>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</si>
  <si>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</si>
  <si>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</si>
  <si>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</si>
  <si>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</si>
  <si>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</si>
  <si>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</si>
  <si>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</si>
  <si>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</si>
  <si>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</si>
  <si>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</si>
  <si>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</si>
  <si>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</si>
  <si>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</t>
  </si>
  <si>
    <t xml:space="preserve">SF-PY2. Oferta Académica </t>
  </si>
  <si>
    <t>SF-PY2.1</t>
  </si>
  <si>
    <t>Nuevos programas académicos de pregrado presenciales y virtuales.</t>
  </si>
  <si>
    <t>V. ACADÉMICA
FACECO
EDUCACIÓN
FACIEN</t>
  </si>
  <si>
    <t>SF-PY2.2</t>
  </si>
  <si>
    <t>Nuevos programas académicos de postgrado presenciales y virtuales.</t>
  </si>
  <si>
    <t>V. ACADÉMICA
FACECO
FACIEN</t>
  </si>
  <si>
    <t>SF-PY2.3</t>
  </si>
  <si>
    <t>Nuevos programas académicos articulados en distintos niveles , ciclos propedéuticos, metodologias y modalidades. PAEME.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</si>
  <si>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</si>
  <si>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</si>
  <si>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</si>
  <si>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</si>
  <si>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</si>
  <si>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</si>
  <si>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</si>
  <si>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V. ACADÉMICA
FACECO</t>
  </si>
  <si>
    <t>SF-PY3.3</t>
  </si>
  <si>
    <t xml:space="preserve">Estudios de Nivel Pos doctoral </t>
  </si>
  <si>
    <t>SF-PY3.4</t>
  </si>
  <si>
    <t>Capacitación y actualización individual y colectiva en pedagogías, didácticas, estudios sociales, culturales y estéticos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</si>
  <si>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</si>
  <si>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</si>
  <si>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</si>
  <si>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</si>
  <si>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</si>
  <si>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>V. ACADÉMICA
FACECO
EDUCACIÓN  F.C.J Y P.
FACIEN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</si>
  <si>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</si>
  <si>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</si>
  <si>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</si>
  <si>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</si>
  <si>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</si>
  <si>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</si>
  <si>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</si>
  <si>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>V. ACADÉMICA
EDUCACIÓN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</si>
  <si>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</si>
  <si>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</si>
  <si>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</si>
  <si>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</si>
  <si>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</si>
  <si>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</si>
  <si>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
FACIEN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</si>
  <si>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</si>
  <si>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</si>
  <si>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</si>
  <si>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</si>
  <si>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</si>
  <si>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</si>
  <si>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</si>
  <si>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
FACIEN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</si>
  <si>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</si>
  <si>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</si>
  <si>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</si>
  <si>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</si>
  <si>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</si>
  <si>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</si>
  <si>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</si>
  <si>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</si>
  <si>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</si>
  <si>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</si>
  <si>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</si>
  <si>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</si>
  <si>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</si>
  <si>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VIPS</t>
  </si>
  <si>
    <t>SI-PY2.5</t>
  </si>
  <si>
    <t>Mayor cuantía</t>
  </si>
  <si>
    <t>SI-PY2.6</t>
  </si>
  <si>
    <t>Doctorados</t>
  </si>
  <si>
    <t>SI-PY2.7</t>
  </si>
  <si>
    <t>Jóvenes Investigadores</t>
  </si>
  <si>
    <t>VIPS   INGENIERÍA
FACIEN</t>
  </si>
  <si>
    <t>SI-PY3.  Fortalecimiento de  las capacidades investigativas.</t>
  </si>
  <si>
    <t>SI-PY3.1</t>
  </si>
  <si>
    <t xml:space="preserve"> Eventos académico- científicos</t>
  </si>
  <si>
    <t>VIPS
EDUCACIÓN
FACIEN 
F.C.J. Y P.</t>
  </si>
  <si>
    <t>SI-PY3.2</t>
  </si>
  <si>
    <t>Ponencias</t>
  </si>
  <si>
    <t xml:space="preserve">
VIPS INGENIERÍA FACECO 
EDUCACIÓN
F.C.J. Y P.  FACIEN 
</t>
  </si>
  <si>
    <t>SI-PY3.3</t>
  </si>
  <si>
    <t>Vinculación y Desarrollo en redes académicas, científicas e investigativas</t>
  </si>
  <si>
    <t xml:space="preserve">
VIPS 
F.C.J. Y P.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</si>
  <si>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</si>
  <si>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</si>
  <si>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</si>
  <si>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</si>
  <si>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</si>
  <si>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F. EDUCACIÓN  FACIEN 
</t>
  </si>
  <si>
    <t>SI-PY3.6</t>
  </si>
  <si>
    <t xml:space="preserve"> Vigilancia Tecnológica</t>
  </si>
  <si>
    <t>SI-PY3.7</t>
  </si>
  <si>
    <t>Artículos en Revistas Indexadas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</si>
  <si>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</si>
  <si>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</si>
  <si>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</si>
  <si>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</si>
  <si>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</si>
  <si>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</si>
  <si>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</si>
  <si>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</si>
  <si>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</si>
  <si>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</si>
  <si>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</si>
  <si>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</si>
  <si>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</si>
  <si>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</si>
  <si>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</si>
  <si>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</si>
  <si>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</si>
  <si>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</si>
  <si>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</si>
  <si>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</si>
  <si>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FACECO,  F.C.J.P.
FACIEN</t>
  </si>
  <si>
    <t>SI-PY6.3</t>
  </si>
  <si>
    <t>Publicación de libros desde la Editorial de la Universidad</t>
  </si>
  <si>
    <t>VIPS
FACECO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</si>
  <si>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</si>
  <si>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</si>
  <si>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</si>
  <si>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</si>
  <si>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</si>
  <si>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SP-PY1.2</t>
  </si>
  <si>
    <t xml:space="preserve"> Fomento a la internacionalización en casa</t>
  </si>
  <si>
    <t>VIPS  F.EDUCACIÓN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</si>
  <si>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</si>
  <si>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</si>
  <si>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</si>
  <si>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</si>
  <si>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INGENIERÍA FACECO 
EDUCACIÓN
F.C.S. Y H.
F.C.J. Y P.  FACIEN 
</t>
  </si>
  <si>
    <t>SP-PY2.   Estructuración y Desarrollo de las unidades de atención especializada de la Universidad Surcolombiana.</t>
  </si>
  <si>
    <t>SP-PY2.1</t>
  </si>
  <si>
    <t>Operación y desarrollo del Centro de Emprendimiento e Innovación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</si>
  <si>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</si>
  <si>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</si>
  <si>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</si>
  <si>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</si>
  <si>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</si>
  <si>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</si>
  <si>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</si>
  <si>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</si>
  <si>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</si>
  <si>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</si>
  <si>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</si>
  <si>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</si>
  <si>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</si>
  <si>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</si>
  <si>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</si>
  <si>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</si>
  <si>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</si>
  <si>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SALUD FACECO 
EDUCACIÓN
F.C.S. Y H.
F.C.J. Y P.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</si>
  <si>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</si>
  <si>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</si>
  <si>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</si>
  <si>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</si>
  <si>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</si>
  <si>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</si>
  <si>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</si>
  <si>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</si>
  <si>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</si>
  <si>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FACIEN
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</si>
  <si>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</si>
  <si>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</si>
  <si>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</si>
  <si>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</si>
  <si>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</si>
  <si>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</si>
  <si>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</si>
  <si>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</si>
  <si>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</si>
  <si>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F.C.J. Y P.  FACIEN 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</si>
  <si>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</si>
  <si>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</si>
  <si>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</si>
  <si>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</si>
  <si>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</si>
  <si>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</si>
  <si>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</si>
  <si>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</si>
  <si>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</si>
  <si>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</si>
  <si>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</si>
  <si>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</si>
  <si>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</si>
  <si>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</si>
  <si>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</si>
  <si>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</si>
  <si>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</si>
  <si>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</si>
  <si>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</si>
  <si>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</si>
  <si>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</si>
  <si>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</si>
  <si>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</si>
  <si>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</si>
  <si>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</si>
  <si>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</si>
  <si>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</si>
  <si>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</si>
  <si>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</si>
  <si>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</si>
  <si>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</si>
  <si>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</si>
  <si>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</si>
  <si>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>VIC. ADTIVA. 
F. EDICACIÓN  FACIEN</t>
  </si>
  <si>
    <t>SB-PY2.2</t>
  </si>
  <si>
    <t>Representación - Competitiva</t>
  </si>
  <si>
    <t>SB-PY2.3</t>
  </si>
  <si>
    <t>Recreación y Aprovechamiento del Tiempo Libre</t>
  </si>
  <si>
    <t>VIC. ADTIVA. 
FACECO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</si>
  <si>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</si>
  <si>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</si>
  <si>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</si>
  <si>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</si>
  <si>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</si>
  <si>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FACECO EDUCACIÓN FACIEN</t>
  </si>
  <si>
    <t>SB-PY4.Desarrollo humano.</t>
  </si>
  <si>
    <t>SB-PY4.1</t>
  </si>
  <si>
    <t>Interacción entre los integrantes de la comunidad universitaria.</t>
  </si>
  <si>
    <t>VIC. ADTIVA. 
INGENIERÍA FACECO EDUCACIÓN F.C.S. Y H. FACIEN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</si>
  <si>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</si>
  <si>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</si>
  <si>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</si>
  <si>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</si>
  <si>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</si>
  <si>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</si>
  <si>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</si>
  <si>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</si>
  <si>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</si>
  <si>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</si>
  <si>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</si>
  <si>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</si>
  <si>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</si>
  <si>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</si>
  <si>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</si>
  <si>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</si>
  <si>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</si>
  <si>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</si>
  <si>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</si>
  <si>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</si>
  <si>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</si>
  <si>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</si>
  <si>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</si>
  <si>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FACECO EDUCACIÓN  F.C.J. Y P.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</si>
  <si>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</si>
  <si>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</si>
  <si>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</si>
  <si>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</si>
  <si>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</si>
  <si>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</si>
  <si>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</si>
  <si>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</si>
  <si>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</si>
  <si>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</si>
  <si>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</si>
  <si>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</si>
  <si>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</si>
  <si>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</si>
  <si>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</si>
  <si>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</si>
  <si>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</si>
  <si>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</si>
  <si>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</si>
  <si>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</si>
  <si>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 xml:space="preserve">VIC. ADTIVA. INGENIERÍA
FACECO </t>
  </si>
  <si>
    <t>SA-PY2.8</t>
  </si>
  <si>
    <t>Mantenimiento dotación de aulas</t>
  </si>
  <si>
    <t>SA-PY2.9</t>
  </si>
  <si>
    <t>Dotación de oficinas</t>
  </si>
  <si>
    <t>VIC. ADTIVA. 
INGENIERÍA FACECO EDUCACIÓN F.C.S. Y H.       F.C.J. Y P.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</si>
  <si>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</si>
  <si>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</si>
  <si>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</si>
  <si>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</si>
  <si>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</si>
  <si>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 F.C.J. Y P.  FACIEN</t>
  </si>
  <si>
    <t>SA-PY2.12</t>
  </si>
  <si>
    <t>Acceso a bases de datos (bibliografía)</t>
  </si>
  <si>
    <t xml:space="preserve">VIC. ADTIVA. 
  EDUCACIÓN  </t>
  </si>
  <si>
    <t>SA-PY3.  Desarrollo Tecnológico.</t>
  </si>
  <si>
    <t>SA-PY3.1</t>
  </si>
  <si>
    <t>Adquisición de equipos con destino a información y comunicación</t>
  </si>
  <si>
    <t>VIC. ADTIVA.
F.C.J. Y P.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</si>
  <si>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</si>
  <si>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</si>
  <si>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</si>
  <si>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</si>
  <si>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</si>
  <si>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</si>
  <si>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</si>
  <si>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</si>
  <si>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F.EDUCACIÓN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</si>
  <si>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</si>
  <si>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</si>
  <si>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</si>
  <si>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</si>
  <si>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</si>
  <si>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</si>
  <si>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</si>
  <si>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</si>
  <si>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</si>
  <si>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</si>
  <si>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</si>
  <si>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</si>
  <si>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</si>
  <si>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</si>
  <si>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</si>
  <si>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</si>
  <si>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</si>
  <si>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</si>
  <si>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</si>
  <si>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</si>
  <si>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</si>
  <si>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</si>
  <si>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</si>
  <si>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</si>
  <si>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</si>
  <si>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</si>
  <si>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</si>
  <si>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</si>
  <si>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</si>
  <si>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</si>
  <si>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2020</t>
  </si>
  <si>
    <t>RECURSOS      ASIGNADOS</t>
  </si>
  <si>
    <t>EJECUCIÓN EN CDP</t>
  </si>
  <si>
    <t>$</t>
  </si>
  <si>
    <t>SALDOS POR EJECUTAR EN CDP</t>
  </si>
  <si>
    <t xml:space="preserve"> EJECUCIÓN  EN RP</t>
  </si>
  <si>
    <t>SALDOS POR EJECUTAR  R.P.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</si>
  <si>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</si>
  <si>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</si>
  <si>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</si>
  <si>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</si>
  <si>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</si>
  <si>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</si>
  <si>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</si>
  <si>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</si>
  <si>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</si>
  <si>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</si>
  <si>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</si>
  <si>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EJECUTADO</t>
  </si>
  <si>
    <t>%  EJECUCIÓN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</si>
  <si>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</si>
  <si>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</si>
  <si>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</si>
  <si>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</si>
  <si>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</si>
  <si>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</si>
  <si>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</si>
  <si>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PROY. SOCIAL</t>
  </si>
  <si>
    <t>BIENESTAR</t>
  </si>
  <si>
    <t>COMPARATIVO DE EJECUCION  POR SUBSISTEMAS A OCTUBRE DE 2020</t>
  </si>
  <si>
    <t>R. EJECUTADOS EN OCTUBRE</t>
  </si>
  <si>
    <t xml:space="preserve"> EJECUCIÓN ACUMULADA A OCTUBRE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</si>
</sst>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9"/>
      <color indexed="81"/>
      <name val="Tahoma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0" fillId="0" borderId="0"/>
  </cellStyleXfs>
  <cellXfs count="265">
    <xf numFmtId="0" fontId="0" fillId="0" borderId="0" xfId="0"/>
    <xf numFmtId="0" fontId="0" fillId="0" borderId="0" xfId="0" applyBorder="1"/>
    <xf numFmtId="0" fontId="2" fillId="0" borderId="0" xfId="0" applyFont="1" applyBorder="1" applyAlignment="1">
      <alignment vertical="center"/>
    </xf>
    <xf numFmtId="0" fontId="0" fillId="0" borderId="1" xfId="0" applyBorder="1"/>
    <xf numFmtId="0" fontId="3" fillId="2" borderId="2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5" borderId="7" xfId="0" applyFont="1" applyFill="1" applyBorder="1" applyAlignment="1">
      <alignment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3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/>
    </xf>
    <xf numFmtId="38" fontId="5" fillId="4" borderId="7" xfId="0" applyNumberFormat="1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/>
    </xf>
    <xf numFmtId="0" fontId="5" fillId="0" borderId="0" xfId="0" applyFont="1"/>
    <xf numFmtId="0" fontId="6" fillId="0" borderId="7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center" vertical="center" wrapText="1"/>
    </xf>
    <xf numFmtId="3" fontId="10" fillId="2" borderId="7" xfId="0" applyNumberFormat="1" applyFont="1" applyFill="1" applyBorder="1" applyAlignment="1">
      <alignment horizontal="right" vertical="center" wrapText="1"/>
    </xf>
    <xf numFmtId="38" fontId="10" fillId="7" borderId="7" xfId="0" applyNumberFormat="1" applyFont="1" applyFill="1" applyBorder="1" applyAlignment="1">
      <alignment horizontal="right" vertical="center" wrapText="1"/>
    </xf>
    <xf numFmtId="3" fontId="10" fillId="0" borderId="7" xfId="0" applyNumberFormat="1" applyFont="1" applyFill="1" applyBorder="1" applyAlignment="1">
      <alignment horizontal="right" vertical="center" wrapText="1"/>
    </xf>
    <xf numFmtId="10" fontId="11" fillId="0" borderId="7" xfId="0" applyNumberFormat="1" applyFont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right" vertical="center" wrapText="1"/>
    </xf>
    <xf numFmtId="3" fontId="10" fillId="2" borderId="10" xfId="0" applyNumberFormat="1" applyFont="1" applyFill="1" applyBorder="1" applyAlignment="1">
      <alignment horizontal="right" vertical="center" wrapText="1"/>
    </xf>
    <xf numFmtId="3" fontId="12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8" fillId="0" borderId="7" xfId="0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center" vertical="center" wrapText="1"/>
    </xf>
    <xf numFmtId="0" fontId="8" fillId="2" borderId="7" xfId="0" applyFont="1" applyFill="1" applyBorder="1" applyAlignment="1">
      <alignment vertical="center" wrapText="1"/>
    </xf>
    <xf numFmtId="0" fontId="0" fillId="0" borderId="11" xfId="0" applyFont="1" applyBorder="1" applyAlignment="1">
      <alignment horizontal="left" vertical="center" wrapText="1"/>
    </xf>
    <xf numFmtId="3" fontId="10" fillId="5" borderId="7" xfId="0" applyNumberFormat="1" applyFont="1" applyFill="1" applyBorder="1" applyAlignment="1">
      <alignment horizontal="right" vertical="center" wrapText="1"/>
    </xf>
    <xf numFmtId="0" fontId="0" fillId="8" borderId="7" xfId="0" applyFill="1" applyBorder="1" applyAlignment="1">
      <alignment textRotation="255"/>
    </xf>
    <xf numFmtId="3" fontId="9" fillId="4" borderId="7" xfId="0" applyNumberFormat="1" applyFont="1" applyFill="1" applyBorder="1" applyAlignment="1">
      <alignment horizontal="center" vertical="center" wrapText="1"/>
    </xf>
    <xf numFmtId="3" fontId="14" fillId="4" borderId="11" xfId="0" applyNumberFormat="1" applyFont="1" applyFill="1" applyBorder="1" applyAlignment="1">
      <alignment vertical="center" wrapText="1"/>
    </xf>
    <xf numFmtId="38" fontId="14" fillId="4" borderId="11" xfId="0" applyNumberFormat="1" applyFont="1" applyFill="1" applyBorder="1" applyAlignment="1">
      <alignment vertical="center" wrapText="1"/>
    </xf>
    <xf numFmtId="10" fontId="11" fillId="8" borderId="14" xfId="0" applyNumberFormat="1" applyFont="1" applyFill="1" applyBorder="1" applyAlignment="1">
      <alignment horizontal="center" vertical="center"/>
    </xf>
    <xf numFmtId="3" fontId="8" fillId="8" borderId="14" xfId="0" applyNumberFormat="1" applyFont="1" applyFill="1" applyBorder="1" applyAlignment="1">
      <alignment vertical="center" wrapText="1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2" fillId="2" borderId="7" xfId="0" applyNumberFormat="1" applyFont="1" applyFill="1" applyBorder="1" applyAlignment="1">
      <alignment horizontal="right" vertical="center" wrapText="1"/>
    </xf>
    <xf numFmtId="10" fontId="11" fillId="0" borderId="13" xfId="0" applyNumberFormat="1" applyFont="1" applyBorder="1" applyAlignment="1">
      <alignment horizontal="center" vertical="center"/>
    </xf>
    <xf numFmtId="3" fontId="10" fillId="2" borderId="13" xfId="0" applyNumberFormat="1" applyFont="1" applyFill="1" applyBorder="1" applyAlignment="1">
      <alignment horizontal="righ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0" applyNumberFormat="1" applyFont="1" applyFill="1" applyBorder="1" applyAlignment="1">
      <alignment horizontal="center" vertical="center" wrapText="1"/>
    </xf>
    <xf numFmtId="3" fontId="10" fillId="0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9" fillId="4" borderId="14" xfId="0" applyNumberFormat="1" applyFont="1" applyFill="1" applyBorder="1" applyAlignment="1">
      <alignment horizontal="center" vertical="center" wrapText="1"/>
    </xf>
    <xf numFmtId="3" fontId="14" fillId="4" borderId="14" xfId="0" applyNumberFormat="1" applyFont="1" applyFill="1" applyBorder="1" applyAlignment="1">
      <alignment horizontal="right" vertical="center" wrapText="1"/>
    </xf>
    <xf numFmtId="10" fontId="11" fillId="4" borderId="14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8" fontId="10" fillId="7" borderId="13" xfId="0" applyNumberFormat="1" applyFont="1" applyFill="1" applyBorder="1" applyAlignment="1">
      <alignment horizontal="right"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horizontal="left" vertical="center" wrapText="1"/>
    </xf>
    <xf numFmtId="3" fontId="12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4" fillId="4" borderId="14" xfId="0" applyNumberFormat="1" applyFont="1" applyFill="1" applyBorder="1" applyAlignment="1">
      <alignment horizontal="right" vertical="center" wrapText="1"/>
    </xf>
    <xf numFmtId="10" fontId="16" fillId="4" borderId="14" xfId="0" applyNumberFormat="1" applyFont="1" applyFill="1" applyBorder="1" applyAlignment="1">
      <alignment horizontal="center" vertical="center"/>
    </xf>
    <xf numFmtId="3" fontId="10" fillId="4" borderId="14" xfId="0" applyNumberFormat="1" applyFont="1" applyFill="1" applyBorder="1" applyAlignment="1">
      <alignment horizontal="right" vertical="center" wrapText="1"/>
    </xf>
    <xf numFmtId="38" fontId="10" fillId="2" borderId="7" xfId="0" applyNumberFormat="1" applyFont="1" applyFill="1" applyBorder="1" applyAlignment="1">
      <alignment horizontal="right" vertical="center" wrapText="1"/>
    </xf>
    <xf numFmtId="10" fontId="11" fillId="2" borderId="7" xfId="0" applyNumberFormat="1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 wrapText="1"/>
    </xf>
    <xf numFmtId="3" fontId="10" fillId="2" borderId="7" xfId="1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vertical="center" wrapText="1"/>
    </xf>
    <xf numFmtId="3" fontId="10" fillId="2" borderId="11" xfId="0" applyNumberFormat="1" applyFont="1" applyFill="1" applyBorder="1" applyAlignment="1">
      <alignment horizontal="right" vertical="center" wrapText="1"/>
    </xf>
    <xf numFmtId="3" fontId="10" fillId="0" borderId="7" xfId="1" applyNumberFormat="1" applyFont="1" applyBorder="1" applyAlignment="1">
      <alignment vertical="center"/>
    </xf>
    <xf numFmtId="3" fontId="10" fillId="0" borderId="11" xfId="0" applyNumberFormat="1" applyFont="1" applyFill="1" applyBorder="1" applyAlignment="1">
      <alignment horizontal="righ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0" fillId="0" borderId="0" xfId="0" applyFill="1"/>
    <xf numFmtId="164" fontId="17" fillId="2" borderId="19" xfId="0" applyNumberFormat="1" applyFont="1" applyFill="1" applyBorder="1" applyAlignment="1">
      <alignment horizontal="right" vertical="center"/>
    </xf>
    <xf numFmtId="164" fontId="17" fillId="2" borderId="7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19" fillId="2" borderId="1" xfId="0" applyNumberFormat="1" applyFont="1" applyFill="1" applyBorder="1" applyAlignment="1">
      <alignment horizontal="right" vertical="center" wrapText="1"/>
    </xf>
    <xf numFmtId="38" fontId="19" fillId="7" borderId="1" xfId="0" applyNumberFormat="1" applyFont="1" applyFill="1" applyBorder="1" applyAlignment="1">
      <alignment horizontal="right" vertical="center" wrapText="1"/>
    </xf>
    <xf numFmtId="3" fontId="19" fillId="2" borderId="13" xfId="0" applyNumberFormat="1" applyFont="1" applyFill="1" applyBorder="1" applyAlignment="1">
      <alignment horizontal="right" vertical="center" wrapText="1"/>
    </xf>
    <xf numFmtId="3" fontId="12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2" fillId="0" borderId="13" xfId="0" applyNumberFormat="1" applyFont="1" applyFill="1" applyBorder="1" applyAlignment="1">
      <alignment horizontal="right" vertical="center" wrapText="1"/>
    </xf>
    <xf numFmtId="3" fontId="12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2" fillId="7" borderId="13" xfId="0" applyNumberFormat="1" applyFont="1" applyFill="1" applyBorder="1" applyAlignment="1">
      <alignment horizontal="right" vertical="center" wrapText="1"/>
    </xf>
    <xf numFmtId="10" fontId="8" fillId="0" borderId="7" xfId="0" applyNumberFormat="1" applyFont="1" applyBorder="1" applyAlignment="1">
      <alignment horizontal="center" vertical="center"/>
    </xf>
    <xf numFmtId="0" fontId="6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8" fillId="0" borderId="9" xfId="0" applyNumberFormat="1" applyFont="1" applyFill="1" applyBorder="1"/>
    <xf numFmtId="38" fontId="8" fillId="7" borderId="9" xfId="0" applyNumberFormat="1" applyFont="1" applyFill="1" applyBorder="1"/>
    <xf numFmtId="3" fontId="8" fillId="0" borderId="7" xfId="0" applyNumberFormat="1" applyFont="1" applyFill="1" applyBorder="1"/>
    <xf numFmtId="3" fontId="6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6" fillId="2" borderId="9" xfId="0" applyNumberFormat="1" applyFont="1" applyFill="1" applyBorder="1" applyAlignment="1">
      <alignment horizontal="right" vertical="center" wrapText="1"/>
    </xf>
    <xf numFmtId="0" fontId="8" fillId="0" borderId="8" xfId="0" applyFont="1" applyFill="1" applyBorder="1"/>
    <xf numFmtId="0" fontId="8" fillId="0" borderId="9" xfId="0" applyFont="1" applyFill="1" applyBorder="1"/>
    <xf numFmtId="0" fontId="0" fillId="0" borderId="7" xfId="0" applyFill="1" applyBorder="1"/>
    <xf numFmtId="3" fontId="6" fillId="0" borderId="7" xfId="0" applyNumberFormat="1" applyFont="1" applyBorder="1" applyAlignment="1">
      <alignment horizontal="right" wrapText="1"/>
    </xf>
    <xf numFmtId="0" fontId="6" fillId="0" borderId="7" xfId="0" applyFont="1" applyBorder="1" applyAlignment="1">
      <alignment horizontal="right" vertical="center" wrapText="1"/>
    </xf>
    <xf numFmtId="3" fontId="6" fillId="0" borderId="7" xfId="0" applyNumberFormat="1" applyFont="1" applyBorder="1" applyAlignment="1">
      <alignment vertical="center" wrapText="1"/>
    </xf>
    <xf numFmtId="3" fontId="6" fillId="0" borderId="8" xfId="0" applyNumberFormat="1" applyFont="1" applyBorder="1" applyAlignment="1">
      <alignment vertical="center" wrapText="1"/>
    </xf>
    <xf numFmtId="3" fontId="6" fillId="7" borderId="8" xfId="0" applyNumberFormat="1" applyFont="1" applyFill="1" applyBorder="1" applyAlignment="1">
      <alignment vertical="center" wrapText="1"/>
    </xf>
    <xf numFmtId="3" fontId="12" fillId="0" borderId="7" xfId="0" applyNumberFormat="1" applyFont="1" applyBorder="1" applyAlignment="1">
      <alignment vertical="center" wrapText="1"/>
    </xf>
    <xf numFmtId="165" fontId="12" fillId="0" borderId="7" xfId="0" applyNumberFormat="1" applyFont="1" applyBorder="1" applyAlignment="1">
      <alignment vertical="center" wrapText="1"/>
    </xf>
    <xf numFmtId="165" fontId="12" fillId="0" borderId="8" xfId="0" applyNumberFormat="1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 wrapText="1"/>
    </xf>
    <xf numFmtId="165" fontId="6" fillId="0" borderId="7" xfId="0" applyNumberFormat="1" applyFont="1" applyBorder="1" applyAlignment="1">
      <alignment vertical="center" wrapText="1"/>
    </xf>
    <xf numFmtId="0" fontId="6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6" fillId="0" borderId="7" xfId="0" applyFont="1" applyBorder="1" applyAlignment="1">
      <alignment horizontal="right"/>
    </xf>
    <xf numFmtId="0" fontId="6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2" fillId="0" borderId="14" xfId="0" applyNumberFormat="1" applyFont="1" applyBorder="1"/>
    <xf numFmtId="3" fontId="12" fillId="7" borderId="14" xfId="0" applyNumberFormat="1" applyFont="1" applyFill="1" applyBorder="1"/>
    <xf numFmtId="3" fontId="12" fillId="2" borderId="14" xfId="0" applyNumberFormat="1" applyFont="1" applyFill="1" applyBorder="1"/>
    <xf numFmtId="10" fontId="11" fillId="0" borderId="14" xfId="0" applyNumberFormat="1" applyFont="1" applyBorder="1" applyAlignment="1">
      <alignment horizontal="center" vertical="center"/>
    </xf>
    <xf numFmtId="3" fontId="12" fillId="0" borderId="18" xfId="0" applyNumberFormat="1" applyFont="1" applyBorder="1"/>
    <xf numFmtId="10" fontId="8" fillId="0" borderId="14" xfId="0" applyNumberFormat="1" applyFont="1" applyBorder="1" applyAlignment="1">
      <alignment horizontal="center" vertical="center"/>
    </xf>
    <xf numFmtId="3" fontId="12" fillId="0" borderId="14" xfId="0" applyNumberFormat="1" applyFont="1" applyFill="1" applyBorder="1" applyAlignment="1">
      <alignment horizontal="right" vertical="center" wrapText="1"/>
    </xf>
    <xf numFmtId="0" fontId="1" fillId="0" borderId="0" xfId="0" applyFont="1"/>
    <xf numFmtId="166" fontId="20" fillId="0" borderId="0" xfId="0" applyNumberFormat="1" applyFont="1" applyBorder="1" applyAlignment="1">
      <alignment horizontal="right" vertical="center" wrapText="1"/>
    </xf>
    <xf numFmtId="0" fontId="21" fillId="0" borderId="0" xfId="1" applyFont="1"/>
    <xf numFmtId="166" fontId="21" fillId="0" borderId="0" xfId="0" applyNumberFormat="1" applyFont="1" applyBorder="1" applyAlignment="1">
      <alignment horizontal="right" vertical="center" wrapText="1"/>
    </xf>
    <xf numFmtId="166" fontId="0" fillId="0" borderId="0" xfId="0" applyNumberFormat="1"/>
    <xf numFmtId="0" fontId="14" fillId="0" borderId="0" xfId="1" applyFont="1" applyAlignment="1">
      <alignment vertical="center"/>
    </xf>
    <xf numFmtId="0" fontId="10" fillId="0" borderId="0" xfId="1" applyFont="1"/>
    <xf numFmtId="167" fontId="10" fillId="0" borderId="0" xfId="1" applyNumberFormat="1" applyFont="1" applyBorder="1"/>
    <xf numFmtId="0" fontId="14" fillId="0" borderId="0" xfId="1" applyFont="1"/>
    <xf numFmtId="0" fontId="21" fillId="0" borderId="0" xfId="0" applyFont="1" applyBorder="1" applyAlignment="1">
      <alignment vertical="center"/>
    </xf>
    <xf numFmtId="0" fontId="10" fillId="0" borderId="0" xfId="1" applyFont="1" applyBorder="1"/>
    <xf numFmtId="0" fontId="0" fillId="5" borderId="10" xfId="0" applyFill="1" applyBorder="1" applyAlignment="1">
      <alignment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3" fontId="8" fillId="4" borderId="14" xfId="0" applyNumberFormat="1" applyFont="1" applyFill="1" applyBorder="1" applyAlignment="1">
      <alignment vertical="center" wrapText="1"/>
    </xf>
    <xf numFmtId="0" fontId="25" fillId="2" borderId="0" xfId="0" applyFont="1" applyFill="1" applyBorder="1" applyAlignment="1">
      <alignment horizontal="center" vertical="center"/>
    </xf>
    <xf numFmtId="0" fontId="25" fillId="2" borderId="0" xfId="0" applyFont="1" applyFill="1" applyBorder="1"/>
    <xf numFmtId="0" fontId="26" fillId="0" borderId="0" xfId="0" applyFont="1"/>
    <xf numFmtId="0" fontId="2" fillId="0" borderId="0" xfId="0" applyFont="1"/>
    <xf numFmtId="0" fontId="26" fillId="0" borderId="0" xfId="0" applyFont="1" applyFill="1"/>
    <xf numFmtId="0" fontId="26" fillId="2" borderId="0" xfId="0" applyFont="1" applyFill="1"/>
    <xf numFmtId="0" fontId="2" fillId="0" borderId="0" xfId="0" applyFont="1" applyFill="1"/>
    <xf numFmtId="0" fontId="25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25" fillId="2" borderId="0" xfId="0" applyFont="1" applyFill="1" applyBorder="1" applyAlignment="1">
      <alignment horizontal="center" vertical="center" wrapText="1"/>
    </xf>
    <xf numFmtId="10" fontId="0" fillId="2" borderId="0" xfId="0" applyNumberFormat="1" applyFill="1"/>
    <xf numFmtId="10" fontId="0" fillId="0" borderId="0" xfId="0" applyNumberFormat="1"/>
    <xf numFmtId="0" fontId="18" fillId="2" borderId="7" xfId="0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vertical="center"/>
    </xf>
    <xf numFmtId="166" fontId="28" fillId="2" borderId="7" xfId="0" applyNumberFormat="1" applyFont="1" applyFill="1" applyBorder="1" applyAlignment="1">
      <alignment horizontal="right" vertical="center"/>
    </xf>
    <xf numFmtId="10" fontId="28" fillId="0" borderId="7" xfId="0" applyNumberFormat="1" applyFont="1" applyBorder="1" applyAlignment="1">
      <alignment horizontal="center" vertical="center"/>
    </xf>
    <xf numFmtId="10" fontId="26" fillId="2" borderId="7" xfId="0" applyNumberFormat="1" applyFont="1" applyFill="1" applyBorder="1" applyAlignment="1">
      <alignment horizontal="center" vertical="center"/>
    </xf>
    <xf numFmtId="10" fontId="26" fillId="2" borderId="7" xfId="0" applyNumberFormat="1" applyFont="1" applyFill="1" applyBorder="1" applyAlignment="1">
      <alignment vertical="center"/>
    </xf>
    <xf numFmtId="0" fontId="26" fillId="2" borderId="7" xfId="0" applyFont="1" applyFill="1" applyBorder="1" applyAlignment="1">
      <alignment horizontal="center"/>
    </xf>
    <xf numFmtId="0" fontId="26" fillId="2" borderId="7" xfId="0" applyFont="1" applyFill="1" applyBorder="1"/>
    <xf numFmtId="166" fontId="26" fillId="2" borderId="7" xfId="0" applyNumberFormat="1" applyFont="1" applyFill="1" applyBorder="1" applyAlignment="1">
      <alignment horizontal="center"/>
    </xf>
    <xf numFmtId="166" fontId="0" fillId="0" borderId="7" xfId="0" applyNumberFormat="1" applyFont="1" applyBorder="1" applyAlignment="1">
      <alignment horizontal="right"/>
    </xf>
    <xf numFmtId="166" fontId="8" fillId="2" borderId="7" xfId="0" applyNumberFormat="1" applyFont="1" applyFill="1" applyBorder="1" applyAlignment="1">
      <alignment horizontal="right" vertical="center"/>
    </xf>
    <xf numFmtId="10" fontId="8" fillId="2" borderId="7" xfId="0" applyNumberFormat="1" applyFont="1" applyFill="1" applyBorder="1" applyAlignment="1">
      <alignment horizontal="center" vertical="center"/>
    </xf>
    <xf numFmtId="0" fontId="0" fillId="0" borderId="0" xfId="0" applyFont="1"/>
    <xf numFmtId="0" fontId="26" fillId="2" borderId="11" xfId="0" applyFont="1" applyFill="1" applyBorder="1" applyAlignment="1">
      <alignment vertical="center"/>
    </xf>
    <xf numFmtId="166" fontId="28" fillId="2" borderId="11" xfId="0" applyNumberFormat="1" applyFont="1" applyFill="1" applyBorder="1" applyAlignment="1">
      <alignment horizontal="right" vertical="center"/>
    </xf>
    <xf numFmtId="10" fontId="28" fillId="0" borderId="11" xfId="0" applyNumberFormat="1" applyFont="1" applyBorder="1" applyAlignment="1">
      <alignment horizontal="center" vertical="center"/>
    </xf>
    <xf numFmtId="10" fontId="26" fillId="2" borderId="11" xfId="0" applyNumberFormat="1" applyFont="1" applyFill="1" applyBorder="1" applyAlignment="1">
      <alignment horizontal="center" vertical="center"/>
    </xf>
    <xf numFmtId="10" fontId="26" fillId="2" borderId="11" xfId="0" applyNumberFormat="1" applyFont="1" applyFill="1" applyBorder="1" applyAlignment="1">
      <alignment vertical="center"/>
    </xf>
    <xf numFmtId="0" fontId="26" fillId="2" borderId="11" xfId="0" applyFont="1" applyFill="1" applyBorder="1" applyAlignment="1">
      <alignment horizontal="center"/>
    </xf>
    <xf numFmtId="0" fontId="26" fillId="2" borderId="11" xfId="0" applyFont="1" applyFill="1" applyBorder="1"/>
    <xf numFmtId="166" fontId="26" fillId="2" borderId="11" xfId="0" applyNumberFormat="1" applyFont="1" applyFill="1" applyBorder="1" applyAlignment="1">
      <alignment horizontal="center"/>
    </xf>
    <xf numFmtId="10" fontId="8" fillId="2" borderId="11" xfId="0" applyNumberFormat="1" applyFont="1" applyFill="1" applyBorder="1" applyAlignment="1">
      <alignment horizontal="center" vertical="center"/>
    </xf>
    <xf numFmtId="0" fontId="26" fillId="2" borderId="14" xfId="0" applyFont="1" applyFill="1" applyBorder="1" applyAlignment="1">
      <alignment horizontal="center" vertical="center"/>
    </xf>
    <xf numFmtId="166" fontId="0" fillId="0" borderId="14" xfId="0" applyNumberFormat="1" applyFont="1" applyBorder="1" applyAlignment="1">
      <alignment vertical="center"/>
    </xf>
    <xf numFmtId="10" fontId="8" fillId="2" borderId="14" xfId="0" applyNumberFormat="1" applyFont="1" applyFill="1" applyBorder="1" applyAlignment="1">
      <alignment horizontal="center" vertical="center"/>
    </xf>
    <xf numFmtId="3" fontId="9" fillId="4" borderId="7" xfId="0" applyNumberFormat="1" applyFont="1" applyFill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3" fontId="9" fillId="0" borderId="7" xfId="0" applyNumberFormat="1" applyFont="1" applyFill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left" vertical="center" wrapText="1"/>
    </xf>
    <xf numFmtId="3" fontId="9" fillId="2" borderId="7" xfId="0" applyNumberFormat="1" applyFont="1" applyFill="1" applyBorder="1" applyAlignment="1">
      <alignment horizontal="left" vertical="center" wrapText="1"/>
    </xf>
    <xf numFmtId="3" fontId="9" fillId="4" borderId="14" xfId="0" applyNumberFormat="1" applyFont="1" applyFill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12" fillId="2" borderId="7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3" fontId="4" fillId="0" borderId="3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0" fillId="0" borderId="11" xfId="0" applyBorder="1" applyAlignment="1">
      <alignment horizontal="center" vertical="center" textRotation="255"/>
    </xf>
    <xf numFmtId="0" fontId="0" fillId="0" borderId="12" xfId="0" applyBorder="1" applyAlignment="1">
      <alignment horizontal="center" vertical="center" textRotation="255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left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3" xfId="0" applyFont="1" applyFill="1" applyBorder="1" applyAlignment="1">
      <alignment horizontal="left" vertical="center" wrapText="1"/>
    </xf>
    <xf numFmtId="0" fontId="8" fillId="0" borderId="7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8" fillId="0" borderId="15" xfId="0" applyFont="1" applyFill="1" applyBorder="1" applyAlignment="1">
      <alignment horizontal="left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8" fillId="0" borderId="11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 wrapText="1"/>
    </xf>
    <xf numFmtId="0" fontId="18" fillId="4" borderId="16" xfId="0" applyFont="1" applyFill="1" applyBorder="1" applyAlignment="1">
      <alignment horizontal="center" vertical="center" wrapText="1"/>
    </xf>
    <xf numFmtId="0" fontId="18" fillId="4" borderId="17" xfId="0" applyFont="1" applyFill="1" applyBorder="1" applyAlignment="1">
      <alignment horizontal="center" vertical="center" wrapText="1"/>
    </xf>
    <xf numFmtId="0" fontId="18" fillId="4" borderId="18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6" fillId="4" borderId="5" xfId="0" applyFont="1" applyFill="1" applyBorder="1" applyAlignment="1">
      <alignment horizontal="center" vertical="center" wrapText="1"/>
    </xf>
    <xf numFmtId="0" fontId="16" fillId="4" borderId="17" xfId="0" applyFont="1" applyFill="1" applyBorder="1" applyAlignment="1">
      <alignment horizontal="center" vertical="center" wrapText="1"/>
    </xf>
    <xf numFmtId="0" fontId="16" fillId="4" borderId="1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13" fillId="4" borderId="14" xfId="0" applyFont="1" applyFill="1" applyBorder="1" applyAlignment="1">
      <alignment horizontal="left" vertical="center" wrapText="1"/>
    </xf>
    <xf numFmtId="0" fontId="15" fillId="4" borderId="16" xfId="0" applyFont="1" applyFill="1" applyBorder="1" applyAlignment="1">
      <alignment horizontal="left" vertical="center" wrapText="1"/>
    </xf>
    <xf numFmtId="0" fontId="15" fillId="4" borderId="17" xfId="0" applyFont="1" applyFill="1" applyBorder="1" applyAlignment="1">
      <alignment horizontal="left" vertical="center" wrapText="1"/>
    </xf>
    <xf numFmtId="0" fontId="15" fillId="4" borderId="18" xfId="0" applyFont="1" applyFill="1" applyBorder="1" applyAlignment="1">
      <alignment horizontal="left" vertical="center" wrapText="1"/>
    </xf>
    <xf numFmtId="0" fontId="27" fillId="2" borderId="21" xfId="0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left" vertical="center" wrapText="1"/>
    </xf>
  </cellXfs>
  <cellStyles count="2">
    <cellStyle name="Normal" xfId="0" builtinId="0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3" Type="http://schemas.openxmlformats.org/officeDocument/2006/relationships/externalLink" Target="externalLinks/externalLink1.xml"/><Relationship Id="rId21" Type="http://schemas.openxmlformats.org/officeDocument/2006/relationships/sharedStrings" Target="sharedStrings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31 DE OCTUBRE DE 2020</a:t>
            </a:r>
            <a:endParaRPr lang="es-CO" sz="1400">
              <a:effectLst/>
            </a:endParaRPr>
          </a:p>
        </c:rich>
      </c:tx>
      <c:layout/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OCT. 2020'!$EE$5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1225071225071226E-3"/>
                  <c:y val="-9.74658869395711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CD07-4404-ADE4-58EC9C9736DE}"/>
                </c:ext>
              </c:extLst>
            </c:dLbl>
            <c:dLbl>
              <c:idx val="2"/>
              <c:layout>
                <c:manualLayout>
                  <c:x val="1.5669515669515671E-2"/>
                  <c:y val="-9.74658869395711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CD07-4404-ADE4-58EC9C9736DE}"/>
                </c:ext>
              </c:extLst>
            </c:dLbl>
            <c:dLbl>
              <c:idx val="3"/>
              <c:layout>
                <c:manualLayout>
                  <c:x val="5.6980056980056983E-3"/>
                  <c:y val="-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CD07-4404-ADE4-58EC9C9736DE}"/>
                </c:ext>
              </c:extLst>
            </c:dLbl>
            <c:dLbl>
              <c:idx val="4"/>
              <c:layout>
                <c:manualLayout>
                  <c:x val="2.4216524216524215E-2"/>
                  <c:y val="-9.7465886939570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CD07-4404-ADE4-58EC9C9736D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CONSOLIDADO OCT. 2020'!$ED$6:$ED$129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OCT. 2020'!$EE$6:$EE$129</c:f>
              <c:numCache>
                <c:formatCode>#,##0</c:formatCode>
                <c:ptCount val="5"/>
                <c:pt idx="0">
                  <c:v>1966134749</c:v>
                </c:pt>
                <c:pt idx="1">
                  <c:v>7636534557</c:v>
                </c:pt>
                <c:pt idx="2">
                  <c:v>4184492718</c:v>
                </c:pt>
                <c:pt idx="3">
                  <c:v>3893748088</c:v>
                </c:pt>
                <c:pt idx="4">
                  <c:v>18901874766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D07-4404-ADE4-58EC9C9736DE}"/>
            </c:ext>
          </c:extLst>
        </c:ser>
        <c:ser>
          <c:idx val="1"/>
          <c:order val="1"/>
          <c:tx>
            <c:strRef>
              <c:f>'P. ACCIÓN CONSOLIDADO OCT. 2020'!$EF$5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8490028490028491E-2"/>
                  <c:y val="-3.248862897985704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CD07-4404-ADE4-58EC9C9736DE}"/>
                </c:ext>
              </c:extLst>
            </c:dLbl>
            <c:dLbl>
              <c:idx val="1"/>
              <c:layout>
                <c:manualLayout>
                  <c:x val="3.3933633295838019E-2"/>
                  <c:y val="-6.497725795971409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CD07-4404-ADE4-58EC9C9736DE}"/>
                </c:ext>
              </c:extLst>
            </c:dLbl>
            <c:dLbl>
              <c:idx val="2"/>
              <c:layout>
                <c:manualLayout>
                  <c:x val="3.2509186351705952E-2"/>
                  <c:y val="-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CD07-4404-ADE4-58EC9C9736DE}"/>
                </c:ext>
              </c:extLst>
            </c:dLbl>
            <c:dLbl>
              <c:idx val="3"/>
              <c:layout>
                <c:manualLayout>
                  <c:x val="3.2977221597300335E-2"/>
                  <c:y val="-1.949317738791422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CD07-4404-ADE4-58EC9C9736DE}"/>
                </c:ext>
              </c:extLst>
            </c:dLbl>
            <c:dLbl>
              <c:idx val="4"/>
              <c:layout>
                <c:manualLayout>
                  <c:x val="3.4656074240719911E-2"/>
                  <c:y val="-1.29954515919428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CD07-4404-ADE4-58EC9C9736D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OCT. 2020'!$ED$6:$ED$129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OCT. 2020'!$EF$6:$EF$129</c:f>
              <c:numCache>
                <c:formatCode>#,##0</c:formatCode>
                <c:ptCount val="5"/>
                <c:pt idx="0">
                  <c:v>847466799</c:v>
                </c:pt>
                <c:pt idx="1">
                  <c:v>4239438795</c:v>
                </c:pt>
                <c:pt idx="2">
                  <c:v>2104745694</c:v>
                </c:pt>
                <c:pt idx="3">
                  <c:v>1630507063</c:v>
                </c:pt>
                <c:pt idx="4">
                  <c:v>7763603092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D07-4404-ADE4-58EC9C9736DE}"/>
            </c:ext>
          </c:extLst>
        </c:ser>
        <c:ser>
          <c:idx val="2"/>
          <c:order val="2"/>
          <c:tx>
            <c:strRef>
              <c:f>'P. ACCIÓN CONSOLIDADO OCT. 2020'!$EG$5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4285714285714264E-2"/>
                  <c:y val="3.2488628979855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020A-415E-A1E3-CE0E360E0A27}"/>
                </c:ext>
              </c:extLst>
            </c:dLbl>
            <c:dLbl>
              <c:idx val="1"/>
              <c:layout>
                <c:manualLayout>
                  <c:x val="1.1904761904761904E-2"/>
                  <c:y val="-1.191235968001870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020A-415E-A1E3-CE0E360E0A27}"/>
                </c:ext>
              </c:extLst>
            </c:dLbl>
            <c:dLbl>
              <c:idx val="2"/>
              <c:layout>
                <c:manualLayout>
                  <c:x val="1.4285714285714285E-2"/>
                  <c:y val="-1.191235968001870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020A-415E-A1E3-CE0E360E0A27}"/>
                </c:ext>
              </c:extLst>
            </c:dLbl>
            <c:dLbl>
              <c:idx val="3"/>
              <c:layout>
                <c:manualLayout>
                  <c:x val="1.4285714285714374E-2"/>
                  <c:y val="-1.191235968001870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020A-415E-A1E3-CE0E360E0A27}"/>
                </c:ext>
              </c:extLst>
            </c:dLbl>
            <c:dLbl>
              <c:idx val="4"/>
              <c:layout>
                <c:manualLayout>
                  <c:x val="1.7857142857142683E-2"/>
                  <c:y val="-1.191235968001870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020A-415E-A1E3-CE0E360E0A2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'P. ACCIÓN CONSOLIDADO OCT. 2020'!$ED$6:$ED$129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CONSOLIDADO OCT. 2020'!$EG$6:$EG$129</c:f>
              <c:numCache>
                <c:formatCode>0.00%</c:formatCode>
                <c:ptCount val="5"/>
                <c:pt idx="0">
                  <c:v>0.43103190126263313</c:v>
                </c:pt>
                <c:pt idx="1">
                  <c:v>0.55515217843333597</c:v>
                </c:pt>
                <c:pt idx="2">
                  <c:v>0.50298706099934953</c:v>
                </c:pt>
                <c:pt idx="3">
                  <c:v>0.41875001313644306</c:v>
                </c:pt>
                <c:pt idx="4">
                  <c:v>0.41073190824250327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20A-415E-A1E3-CE0E360E0A2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33922376"/>
        <c:axId val="633928256"/>
        <c:axId val="0"/>
      </c:bar3DChart>
      <c:catAx>
        <c:axId val="63392237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633928256"/>
        <c:crosses val="autoZero"/>
        <c:auto val="1"/>
        <c:lblAlgn val="ctr"/>
        <c:lblOffset val="100"/>
        <c:noMultiLvlLbl val="0"/>
      </c:catAx>
      <c:valAx>
        <c:axId val="63392825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633922376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RUBROS PRESUPUESTALES A 31 DE OCTUBRE DE 2020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3615737426761051"/>
          <c:y val="2.3728932468347116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'P. ACCIÓN CONSOLIDADO OCT. 2020'!$EE$133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33380514272232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573-4BE7-8F82-BB1992314201}"/>
                </c:ext>
              </c:extLst>
            </c:dLbl>
            <c:dLbl>
              <c:idx val="1"/>
              <c:layout>
                <c:manualLayout>
                  <c:x val="1.1795234725171031E-2"/>
                  <c:y val="-2.6205450733753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F573-4BE7-8F82-BB1992314201}"/>
                </c:ext>
              </c:extLst>
            </c:dLbl>
            <c:dLbl>
              <c:idx val="2"/>
              <c:layout>
                <c:manualLayout>
                  <c:x val="8.2566643076197217E-3"/>
                  <c:y val="-5.24109014675061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F573-4BE7-8F82-BB1992314201}"/>
                </c:ext>
              </c:extLst>
            </c:dLbl>
            <c:dLbl>
              <c:idx val="3"/>
              <c:layout>
                <c:manualLayout>
                  <c:x val="1.7299058424490994E-2"/>
                  <c:y val="-1.3102725366876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408-44F1-93CA-62B2D03B7B01}"/>
                </c:ext>
              </c:extLst>
            </c:dLbl>
            <c:dLbl>
              <c:idx val="4"/>
              <c:layout>
                <c:manualLayout>
                  <c:x val="4.7180938900684127E-3"/>
                  <c:y val="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F573-4BE7-8F82-BB1992314201}"/>
                </c:ext>
              </c:extLst>
            </c:dLbl>
            <c:dLbl>
              <c:idx val="5"/>
              <c:layout>
                <c:manualLayout>
                  <c:x val="1.8249178512983029E-2"/>
                  <c:y val="-7.861635220125786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408-44F1-93CA-62B2D03B7B01}"/>
                </c:ext>
              </c:extLst>
            </c:dLbl>
            <c:dLbl>
              <c:idx val="6"/>
              <c:layout>
                <c:manualLayout>
                  <c:x val="4.7180938900682392E-3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F573-4BE7-8F82-BB199231420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OCT. 2020'!$ED$134:$ED$140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OCT. 2020'!$EE$134:$EE$140</c:f>
              <c:numCache>
                <c:formatCode>#,##0</c:formatCode>
                <c:ptCount val="7"/>
                <c:pt idx="0">
                  <c:v>12891038393</c:v>
                </c:pt>
                <c:pt idx="1">
                  <c:v>4803099363</c:v>
                </c:pt>
                <c:pt idx="2">
                  <c:v>3893748088</c:v>
                </c:pt>
                <c:pt idx="3">
                  <c:v>880490457</c:v>
                </c:pt>
                <c:pt idx="4">
                  <c:v>7636534557</c:v>
                </c:pt>
                <c:pt idx="5">
                  <c:v>2293381302</c:v>
                </c:pt>
                <c:pt idx="6">
                  <c:v>4184492718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08-44F1-93CA-62B2D03B7B01}"/>
            </c:ext>
          </c:extLst>
        </c:ser>
        <c:ser>
          <c:idx val="1"/>
          <c:order val="1"/>
          <c:tx>
            <c:strRef>
              <c:f>'P. ACCIÓN CONSOLIDADO OCT. 2020'!$EF$133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302665723047888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F573-4BE7-8F82-BB1992314201}"/>
                </c:ext>
              </c:extLst>
            </c:dLbl>
            <c:dLbl>
              <c:idx val="1"/>
              <c:layout>
                <c:manualLayout>
                  <c:x val="3.1911961111018232E-2"/>
                  <c:y val="-1.3102725366876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408-44F1-93CA-62B2D03B7B01}"/>
                </c:ext>
              </c:extLst>
            </c:dLbl>
            <c:dLbl>
              <c:idx val="2"/>
              <c:layout>
                <c:manualLayout>
                  <c:x val="3.3320795091696338E-2"/>
                  <c:y val="-1.04821802935010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408-44F1-93CA-62B2D03B7B01}"/>
                </c:ext>
              </c:extLst>
            </c:dLbl>
            <c:dLbl>
              <c:idx val="3"/>
              <c:layout>
                <c:manualLayout>
                  <c:x val="2.6964556712788735E-2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408-44F1-93CA-62B2D03B7B01}"/>
                </c:ext>
              </c:extLst>
            </c:dLbl>
            <c:dLbl>
              <c:idx val="4"/>
              <c:layout>
                <c:manualLayout>
                  <c:x val="3.3550105599857341E-2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408-44F1-93CA-62B2D03B7B01}"/>
                </c:ext>
              </c:extLst>
            </c:dLbl>
            <c:dLbl>
              <c:idx val="5"/>
              <c:layout>
                <c:manualLayout>
                  <c:x val="3.1911961111018232E-2"/>
                  <c:y val="-2.620545073375262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408-44F1-93CA-62B2D03B7B01}"/>
                </c:ext>
              </c:extLst>
            </c:dLbl>
            <c:dLbl>
              <c:idx val="6"/>
              <c:layout>
                <c:manualLayout>
                  <c:x val="3.2108393563331124E-2"/>
                  <c:y val="-7.86163522012569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E408-44F1-93CA-62B2D03B7B0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OCT. 2020'!$ED$134:$ED$140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OCT. 2020'!$EF$134:$EF$140</c:f>
              <c:numCache>
                <c:formatCode>#,##0</c:formatCode>
                <c:ptCount val="7"/>
                <c:pt idx="0">
                  <c:v>3996820848</c:v>
                </c:pt>
                <c:pt idx="1">
                  <c:v>2967460913</c:v>
                </c:pt>
                <c:pt idx="2">
                  <c:v>1630507063</c:v>
                </c:pt>
                <c:pt idx="3">
                  <c:v>346369290</c:v>
                </c:pt>
                <c:pt idx="4">
                  <c:v>4239438795</c:v>
                </c:pt>
                <c:pt idx="5">
                  <c:v>1300418840</c:v>
                </c:pt>
                <c:pt idx="6">
                  <c:v>2104745694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08-44F1-93CA-62B2D03B7B01}"/>
            </c:ext>
          </c:extLst>
        </c:ser>
        <c:ser>
          <c:idx val="2"/>
          <c:order val="2"/>
          <c:tx>
            <c:strRef>
              <c:f>'P. ACCIÓN CONSOLIDADO OCT. 2020'!$EG$133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955980555509116E-2"/>
                  <c:y val="-2.6205450733753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E408-44F1-93CA-62B2D03B7B01}"/>
                </c:ext>
              </c:extLst>
            </c:dLbl>
            <c:dLbl>
              <c:idx val="1"/>
              <c:layout>
                <c:manualLayout>
                  <c:x val="1.7102625972178105E-2"/>
                  <c:y val="-5.24109014675061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E408-44F1-93CA-62B2D03B7B01}"/>
                </c:ext>
              </c:extLst>
            </c:dLbl>
            <c:dLbl>
              <c:idx val="2"/>
              <c:layout>
                <c:manualLayout>
                  <c:x val="1.8282149444695122E-2"/>
                  <c:y val="-1.9217108540407536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E408-44F1-93CA-62B2D03B7B01}"/>
                </c:ext>
              </c:extLst>
            </c:dLbl>
            <c:dLbl>
              <c:idx val="3"/>
              <c:layout>
                <c:manualLayout>
                  <c:x val="1.611953495197389E-2"/>
                  <c:y val="5.24109014675033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E408-44F1-93CA-62B2D03B7B01}"/>
                </c:ext>
              </c:extLst>
            </c:dLbl>
            <c:dLbl>
              <c:idx val="4"/>
              <c:layout>
                <c:manualLayout>
                  <c:x val="1.8282149444695209E-2"/>
                  <c:y val="-5.24109014675061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E408-44F1-93CA-62B2D03B7B01}"/>
                </c:ext>
              </c:extLst>
            </c:dLbl>
            <c:dLbl>
              <c:idx val="5"/>
              <c:layout>
                <c:manualLayout>
                  <c:x val="1.713550402802622E-2"/>
                  <c:y val="-2.6205450733753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E408-44F1-93CA-62B2D03B7B01}"/>
                </c:ext>
              </c:extLst>
            </c:dLbl>
            <c:dLbl>
              <c:idx val="6"/>
              <c:layout>
                <c:manualLayout>
                  <c:x val="1.8216300457135001E-2"/>
                  <c:y val="-7.86163522012588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E408-44F1-93CA-62B2D03B7B0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'P. ACCIÓN CONSOLIDADO OCT. 2020'!$ED$134:$ED$140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CONSOLIDADO OCT. 2020'!$EG$134:$EG$140</c:f>
              <c:numCache>
                <c:formatCode>0.00%</c:formatCode>
                <c:ptCount val="7"/>
                <c:pt idx="0">
                  <c:v>0.31004646221287535</c:v>
                </c:pt>
                <c:pt idx="1">
                  <c:v>0.61782209542850963</c:v>
                </c:pt>
                <c:pt idx="2">
                  <c:v>0.41875001313644306</c:v>
                </c:pt>
                <c:pt idx="3">
                  <c:v>0.39338221924647165</c:v>
                </c:pt>
                <c:pt idx="4">
                  <c:v>0.55515217843333597</c:v>
                </c:pt>
                <c:pt idx="5">
                  <c:v>0.56703123848874915</c:v>
                </c:pt>
                <c:pt idx="6">
                  <c:v>0.50298706099934953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E408-44F1-93CA-62B2D03B7B0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33916888"/>
        <c:axId val="633925120"/>
        <c:axId val="0"/>
      </c:bar3DChart>
      <c:catAx>
        <c:axId val="6339168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633925120"/>
        <c:crosses val="autoZero"/>
        <c:auto val="1"/>
        <c:lblAlgn val="ctr"/>
        <c:lblOffset val="100"/>
        <c:noMultiLvlLbl val="0"/>
      </c:catAx>
      <c:valAx>
        <c:axId val="633925120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633916888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121920</xdr:colOff>
      <xdr:row>142</xdr:row>
      <xdr:rowOff>114300</xdr:rowOff>
    </xdr:from>
    <xdr:to>
      <xdr:col>83</xdr:col>
      <xdr:colOff>670560</xdr:colOff>
      <xdr:row>162</xdr:row>
      <xdr:rowOff>60960</xdr:rowOff>
    </xdr:to>
    <xdr:graphicFrame macro="">
      <xdr:nvGraphicFramePr>
        <xdr:cNvPr id="3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165</xdr:row>
      <xdr:rowOff>0</xdr:rowOff>
    </xdr:from>
    <xdr:to>
      <xdr:col>83</xdr:col>
      <xdr:colOff>647700</xdr:colOff>
      <xdr:row>189</xdr:row>
      <xdr:rowOff>91440</xdr:rowOff>
    </xdr:to>
    <xdr:graphicFrame macro="">
      <xdr:nvGraphicFramePr>
        <xdr:cNvPr id="4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F%202020%202024%20CONSEJO%20SUPERIOR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YO%202020%203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BRIL%2020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2020\PLAN%20OPERATIVO%20ANUAL%20DE%20INVERSI&#211;N%202020%20con%20ajustes%20PD.I.xlsm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P%202020%202024%20CONSEJO%20SUPERIOR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B%202020%202024%20%20CONSEJO%20SUPERIOR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A%202020%202024%20CONSEJO%20SUPERIOR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GOSTO%202020%20-%20DEFINITIV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OCTUBRE%20DE%20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SEPTIEMBRE%20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JULIO%20INFORME%20PLAN%20DE%20ACCION%202020%20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FEBRERO%20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MARZO%2020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AJUSTES%20PDI\CONSEJO%20SUPERIOR\AJUSTES%20PDI%20SI%202020%202024%20CONSEJO%20SUPERIOR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esktop/DOCUMENTOS%20EDITH/INFORMACI&#211;N%202020/INFORMES%20EJEC.%20PTAL.%20PRESUPUESTO/AGOSTO%202020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RMACI&#211;N%202020\INFORMES%20EJEC.%20PTAL.%20PRESUPUESTO\ENERO%2020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F FEB 21 2020"/>
      <sheetName val="SF"/>
      <sheetName val="COSTOS 2020 2024"/>
      <sheetName val="PA SF"/>
      <sheetName val="PY.6"/>
      <sheetName val="Hoja1"/>
      <sheetName val="PA PY.4"/>
    </sheetNames>
    <sheetDataSet>
      <sheetData sheetId="0"/>
      <sheetData sheetId="1">
        <row r="5">
          <cell r="F5">
            <v>100000000</v>
          </cell>
        </row>
        <row r="6">
          <cell r="F6">
            <v>40000000</v>
          </cell>
        </row>
        <row r="12">
          <cell r="F12">
            <v>15000000</v>
          </cell>
        </row>
        <row r="13">
          <cell r="F13">
            <v>20000000</v>
          </cell>
        </row>
        <row r="14">
          <cell r="F14">
            <v>346400000</v>
          </cell>
        </row>
        <row r="15">
          <cell r="F15">
            <v>225000000</v>
          </cell>
        </row>
        <row r="22">
          <cell r="F22">
            <v>15000000</v>
          </cell>
        </row>
        <row r="23">
          <cell r="F23">
            <v>1166707400.67272</v>
          </cell>
        </row>
        <row r="24">
          <cell r="F24">
            <v>90000000</v>
          </cell>
        </row>
        <row r="25">
          <cell r="F25">
            <v>628000000</v>
          </cell>
        </row>
        <row r="26">
          <cell r="F26">
            <v>80000000</v>
          </cell>
        </row>
        <row r="32">
          <cell r="F32">
            <v>150000000</v>
          </cell>
        </row>
        <row r="33">
          <cell r="F33">
            <v>51000000</v>
          </cell>
        </row>
        <row r="34">
          <cell r="F34">
            <v>100000000</v>
          </cell>
        </row>
        <row r="40">
          <cell r="F40">
            <v>20000000</v>
          </cell>
        </row>
        <row r="46">
          <cell r="F46">
            <v>20000000</v>
          </cell>
        </row>
        <row r="47">
          <cell r="F47">
            <v>150000000</v>
          </cell>
        </row>
        <row r="48">
          <cell r="F48">
            <v>100000000</v>
          </cell>
        </row>
      </sheetData>
      <sheetData sheetId="2" refreshError="1"/>
      <sheetData sheetId="3"/>
      <sheetData sheetId="4"/>
      <sheetData sheetId="5" refreshError="1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 2020"/>
    </sheetNames>
    <sheetDataSet>
      <sheetData sheetId="0">
        <row r="74">
          <cell r="J74">
            <v>300000000</v>
          </cell>
          <cell r="AA74">
            <v>150000000</v>
          </cell>
        </row>
        <row r="213">
          <cell r="H213">
            <v>360000</v>
          </cell>
        </row>
        <row r="223">
          <cell r="H223">
            <v>83906539</v>
          </cell>
        </row>
        <row r="228">
          <cell r="H228">
            <v>14876761</v>
          </cell>
        </row>
        <row r="264">
          <cell r="AA264">
            <v>150000000</v>
          </cell>
        </row>
        <row r="1832">
          <cell r="H1832">
            <v>10652860</v>
          </cell>
        </row>
        <row r="3625">
          <cell r="H3625">
            <v>11690000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 2020"/>
    </sheetNames>
    <sheetDataSet>
      <sheetData sheetId="0">
        <row r="204">
          <cell r="AB204">
            <v>85976539</v>
          </cell>
        </row>
        <row r="1852">
          <cell r="Q1852">
            <v>30000000</v>
          </cell>
        </row>
        <row r="2339">
          <cell r="Q2339">
            <v>9574140</v>
          </cell>
          <cell r="AB2339">
            <v>40425860</v>
          </cell>
        </row>
        <row r="2344">
          <cell r="H2344">
            <v>2724000</v>
          </cell>
        </row>
        <row r="2349">
          <cell r="H2349">
            <v>9299998</v>
          </cell>
        </row>
        <row r="3533">
          <cell r="AG3533">
            <v>11700000</v>
          </cell>
        </row>
        <row r="4492">
          <cell r="H4492">
            <v>6144621</v>
          </cell>
        </row>
        <row r="4502">
          <cell r="H4502">
            <v>3072307</v>
          </cell>
        </row>
        <row r="4511">
          <cell r="H4511">
            <v>1755606</v>
          </cell>
        </row>
        <row r="4515">
          <cell r="H4515">
            <v>39027466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20"/>
      <sheetName val="PLAN OPERATIVO 2020- 9 dic -EXC"/>
      <sheetName val="PLAN OPERATIVO 2020 ajustes PDI"/>
    </sheetNames>
    <sheetDataSet>
      <sheetData sheetId="0"/>
      <sheetData sheetId="1"/>
      <sheetData sheetId="2">
        <row r="14">
          <cell r="S14">
            <v>65574140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 FEB 21 2020"/>
      <sheetName val="SP"/>
      <sheetName val="COSTOS 2020 2024"/>
      <sheetName val="Hoja1"/>
      <sheetName val="CONSULTORIO JURÍDICO"/>
    </sheetNames>
    <sheetDataSet>
      <sheetData sheetId="0"/>
      <sheetData sheetId="1">
        <row r="5">
          <cell r="F5">
            <v>30000000</v>
          </cell>
        </row>
        <row r="6">
          <cell r="F6">
            <v>70000000</v>
          </cell>
        </row>
        <row r="7">
          <cell r="F7">
            <v>40000000</v>
          </cell>
        </row>
        <row r="8">
          <cell r="F8">
            <v>329420000</v>
          </cell>
        </row>
        <row r="14">
          <cell r="F14">
            <v>381000000</v>
          </cell>
        </row>
        <row r="17">
          <cell r="F17">
            <v>25000000</v>
          </cell>
        </row>
        <row r="18">
          <cell r="F18">
            <v>144500000</v>
          </cell>
        </row>
        <row r="21">
          <cell r="F21">
            <v>0</v>
          </cell>
        </row>
        <row r="22">
          <cell r="F22">
            <v>57321000</v>
          </cell>
        </row>
        <row r="23">
          <cell r="F23">
            <v>36144000</v>
          </cell>
        </row>
        <row r="24">
          <cell r="F24">
            <v>85000000</v>
          </cell>
        </row>
        <row r="29">
          <cell r="F29">
            <v>168000000</v>
          </cell>
        </row>
        <row r="31">
          <cell r="F31">
            <v>76000000</v>
          </cell>
        </row>
        <row r="40">
          <cell r="F40">
            <v>750000000</v>
          </cell>
        </row>
        <row r="41">
          <cell r="F41">
            <v>300000000</v>
          </cell>
        </row>
        <row r="42">
          <cell r="F42">
            <v>200000000</v>
          </cell>
        </row>
        <row r="43">
          <cell r="F43">
            <v>350000000</v>
          </cell>
        </row>
        <row r="45">
          <cell r="F45">
            <v>285000000</v>
          </cell>
        </row>
        <row r="47">
          <cell r="F47">
            <v>253000000</v>
          </cell>
        </row>
        <row r="49">
          <cell r="F49">
            <v>420000000</v>
          </cell>
        </row>
        <row r="51">
          <cell r="F51">
            <v>1530000000</v>
          </cell>
        </row>
        <row r="53">
          <cell r="F53">
            <v>200000000</v>
          </cell>
        </row>
        <row r="59">
          <cell r="F59">
            <v>154600000</v>
          </cell>
        </row>
        <row r="62">
          <cell r="F62">
            <v>148300000</v>
          </cell>
        </row>
        <row r="63">
          <cell r="F63">
            <v>90200000</v>
          </cell>
        </row>
        <row r="64">
          <cell r="F64">
            <v>167900000</v>
          </cell>
        </row>
        <row r="71">
          <cell r="F71">
            <v>130000000</v>
          </cell>
        </row>
        <row r="72">
          <cell r="F72">
            <v>10000000</v>
          </cell>
        </row>
        <row r="73">
          <cell r="F73">
            <v>8000000</v>
          </cell>
        </row>
        <row r="74">
          <cell r="F74">
            <v>25000000</v>
          </cell>
        </row>
        <row r="80">
          <cell r="F80">
            <v>173643500</v>
          </cell>
        </row>
      </sheetData>
      <sheetData sheetId="2" refreshError="1"/>
      <sheetData sheetId="3" refreshError="1"/>
      <sheetData sheetId="4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B FEB 21 2020"/>
      <sheetName val="SB 2020 2024"/>
      <sheetName val="COSTOS PDI 2020 2024"/>
      <sheetName val="Hoja3"/>
      <sheetName val="ACCION"/>
      <sheetName val="Hoja1"/>
      <sheetName val="JUSTIFICACION"/>
      <sheetName val="PROYECTO"/>
      <sheetName val="SBIENESTAR 2020 2024"/>
      <sheetName val="Hoja2"/>
    </sheetNames>
    <sheetDataSet>
      <sheetData sheetId="0"/>
      <sheetData sheetId="1">
        <row r="5">
          <cell r="F5">
            <v>120000000</v>
          </cell>
        </row>
        <row r="6">
          <cell r="F6">
            <v>85000000</v>
          </cell>
        </row>
        <row r="7">
          <cell r="F7">
            <v>100000000</v>
          </cell>
        </row>
        <row r="8">
          <cell r="F8">
            <v>20000000</v>
          </cell>
        </row>
        <row r="11">
          <cell r="F11">
            <v>17000000</v>
          </cell>
        </row>
        <row r="14">
          <cell r="F14">
            <v>41000000</v>
          </cell>
        </row>
        <row r="17">
          <cell r="F17">
            <v>141000000</v>
          </cell>
        </row>
        <row r="25">
          <cell r="F25">
            <v>97200000</v>
          </cell>
        </row>
        <row r="27">
          <cell r="F27">
            <v>421000000</v>
          </cell>
        </row>
        <row r="28">
          <cell r="F28">
            <v>130000000</v>
          </cell>
        </row>
        <row r="35">
          <cell r="F35">
            <v>205624500</v>
          </cell>
        </row>
        <row r="37">
          <cell r="F37">
            <v>411249000</v>
          </cell>
        </row>
        <row r="43">
          <cell r="F43">
            <v>70000000</v>
          </cell>
        </row>
        <row r="45">
          <cell r="F45">
            <v>96000000</v>
          </cell>
        </row>
        <row r="46">
          <cell r="F46">
            <v>20000000</v>
          </cell>
        </row>
        <row r="52">
          <cell r="F52">
            <v>65000000</v>
          </cell>
        </row>
        <row r="53">
          <cell r="F53">
            <v>1662500000</v>
          </cell>
        </row>
        <row r="55">
          <cell r="F55">
            <v>780000000</v>
          </cell>
        </row>
        <row r="56">
          <cell r="F56">
            <v>200000000</v>
          </cell>
        </row>
      </sheetData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DMTIVO"/>
      <sheetName val="SADMTIVO 2020 2024"/>
      <sheetName val="SADMTIVO PROPUESTA 2020 202 (2"/>
      <sheetName val="SADMTIVO PROPUESTA 2020 2024"/>
      <sheetName val="SA FEB 21 2020"/>
      <sheetName val="SA 2020 2024"/>
      <sheetName val="COSTOS PDI 2020 2024"/>
      <sheetName val="PLAN ACCIÓN VICEADM"/>
      <sheetName val="PLAN DE ACCIÓN 2020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>
        <row r="5">
          <cell r="F5">
            <v>11100000000</v>
          </cell>
        </row>
        <row r="6">
          <cell r="F6">
            <v>0</v>
          </cell>
        </row>
        <row r="7">
          <cell r="F7">
            <v>50000000</v>
          </cell>
        </row>
        <row r="8">
          <cell r="F8">
            <v>600040000</v>
          </cell>
        </row>
        <row r="9">
          <cell r="F9">
            <v>300000000</v>
          </cell>
        </row>
        <row r="15">
          <cell r="F15">
            <v>1200000000</v>
          </cell>
        </row>
        <row r="16">
          <cell r="F16">
            <v>600000000</v>
          </cell>
        </row>
        <row r="17">
          <cell r="F17">
            <v>300000000</v>
          </cell>
        </row>
        <row r="18">
          <cell r="F18">
            <v>1250000000</v>
          </cell>
        </row>
        <row r="19">
          <cell r="F19">
            <v>255000000</v>
          </cell>
        </row>
        <row r="20">
          <cell r="F20">
            <v>270000000</v>
          </cell>
        </row>
        <row r="21">
          <cell r="F21">
            <v>759000000</v>
          </cell>
        </row>
        <row r="22">
          <cell r="F22">
            <v>100000000</v>
          </cell>
        </row>
        <row r="23">
          <cell r="F23">
            <v>504000000</v>
          </cell>
        </row>
        <row r="24">
          <cell r="F24">
            <v>252000000</v>
          </cell>
        </row>
        <row r="25">
          <cell r="F25">
            <v>246000000</v>
          </cell>
        </row>
        <row r="26">
          <cell r="F26">
            <v>600000000</v>
          </cell>
        </row>
        <row r="32">
          <cell r="F32">
            <v>815000000</v>
          </cell>
        </row>
        <row r="33">
          <cell r="F33">
            <v>200000000</v>
          </cell>
        </row>
        <row r="34">
          <cell r="F34">
            <v>281000000</v>
          </cell>
        </row>
        <row r="35">
          <cell r="F35">
            <v>470000000</v>
          </cell>
        </row>
        <row r="36">
          <cell r="F36">
            <v>500000000</v>
          </cell>
        </row>
        <row r="42">
          <cell r="F42">
            <v>220000000</v>
          </cell>
        </row>
        <row r="43">
          <cell r="F43">
            <v>150000000</v>
          </cell>
        </row>
        <row r="44">
          <cell r="F44">
            <v>280000000</v>
          </cell>
        </row>
        <row r="45">
          <cell r="F45">
            <v>200000000</v>
          </cell>
        </row>
        <row r="46">
          <cell r="F46">
            <v>200000000</v>
          </cell>
        </row>
        <row r="47">
          <cell r="F47">
            <v>200000000</v>
          </cell>
        </row>
        <row r="48">
          <cell r="F48">
            <v>200000000</v>
          </cell>
        </row>
        <row r="54">
          <cell r="F54">
            <v>180000000</v>
          </cell>
        </row>
        <row r="55">
          <cell r="F55">
            <v>80000000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</sheetNames>
    <sheetDataSet>
      <sheetData sheetId="0">
        <row r="87">
          <cell r="R87">
            <v>253761378</v>
          </cell>
          <cell r="V87">
            <v>37231112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</sheetNames>
    <sheetDataSet>
      <sheetData sheetId="0">
        <row r="18">
          <cell r="AG18">
            <v>44000000</v>
          </cell>
        </row>
        <row r="64">
          <cell r="AA64">
            <v>7500000</v>
          </cell>
          <cell r="AF64">
            <v>123846638</v>
          </cell>
          <cell r="AG64">
            <v>15000000</v>
          </cell>
        </row>
        <row r="85">
          <cell r="H85">
            <v>90937029</v>
          </cell>
        </row>
        <row r="107">
          <cell r="H107">
            <v>93306044</v>
          </cell>
        </row>
        <row r="114">
          <cell r="H114">
            <v>241881557</v>
          </cell>
        </row>
        <row r="118">
          <cell r="H118">
            <v>53103368</v>
          </cell>
        </row>
        <row r="120">
          <cell r="H120">
            <v>144039174</v>
          </cell>
        </row>
        <row r="122">
          <cell r="H122">
            <v>16129000</v>
          </cell>
        </row>
        <row r="144">
          <cell r="H144">
            <v>5898678</v>
          </cell>
        </row>
        <row r="146">
          <cell r="H146">
            <v>18987996</v>
          </cell>
        </row>
        <row r="148">
          <cell r="H148">
            <v>38238621</v>
          </cell>
        </row>
        <row r="153">
          <cell r="J153">
            <v>92206183</v>
          </cell>
          <cell r="Q153">
            <v>65605202</v>
          </cell>
        </row>
        <row r="156">
          <cell r="H156">
            <v>29115020</v>
          </cell>
        </row>
        <row r="158">
          <cell r="H158">
            <v>20499999</v>
          </cell>
        </row>
        <row r="160">
          <cell r="H160">
            <v>12532962</v>
          </cell>
        </row>
        <row r="163">
          <cell r="H163">
            <v>4664800</v>
          </cell>
        </row>
        <row r="208">
          <cell r="AG208">
            <v>90049047</v>
          </cell>
        </row>
        <row r="247">
          <cell r="H247">
            <v>92640484</v>
          </cell>
        </row>
        <row r="249">
          <cell r="AG249">
            <v>198444764</v>
          </cell>
        </row>
        <row r="286">
          <cell r="AG286">
            <v>248360698</v>
          </cell>
        </row>
        <row r="290">
          <cell r="H290">
            <v>8880000</v>
          </cell>
        </row>
        <row r="342">
          <cell r="AG342">
            <v>20000000</v>
          </cell>
        </row>
        <row r="457">
          <cell r="K457">
            <v>106958861</v>
          </cell>
        </row>
        <row r="496">
          <cell r="AG496">
            <v>14500000</v>
          </cell>
        </row>
        <row r="497">
          <cell r="H497">
            <v>9062143</v>
          </cell>
        </row>
        <row r="506">
          <cell r="H506">
            <v>89394722</v>
          </cell>
        </row>
        <row r="543">
          <cell r="K543">
            <v>120000000</v>
          </cell>
          <cell r="AG543">
            <v>46460000</v>
          </cell>
        </row>
        <row r="544">
          <cell r="H544">
            <v>23280000</v>
          </cell>
        </row>
        <row r="556">
          <cell r="H556">
            <v>9500000</v>
          </cell>
        </row>
        <row r="560">
          <cell r="H560">
            <v>450000</v>
          </cell>
        </row>
        <row r="568">
          <cell r="H568">
            <v>11410660</v>
          </cell>
        </row>
        <row r="580">
          <cell r="H580">
            <v>1500000</v>
          </cell>
        </row>
        <row r="582">
          <cell r="H582">
            <v>10139598</v>
          </cell>
        </row>
        <row r="594">
          <cell r="H594">
            <v>83460515</v>
          </cell>
        </row>
        <row r="692">
          <cell r="H692">
            <v>7230790</v>
          </cell>
        </row>
        <row r="705">
          <cell r="H705">
            <v>24652327</v>
          </cell>
        </row>
        <row r="708">
          <cell r="H708">
            <v>5400000</v>
          </cell>
        </row>
        <row r="711">
          <cell r="H711">
            <v>9560000</v>
          </cell>
        </row>
        <row r="926">
          <cell r="H926">
            <v>46825611</v>
          </cell>
        </row>
        <row r="946">
          <cell r="H946">
            <v>213000000</v>
          </cell>
        </row>
        <row r="948">
          <cell r="AC948">
            <v>213000000</v>
          </cell>
        </row>
        <row r="1010">
          <cell r="J1010">
            <v>100000000</v>
          </cell>
          <cell r="AG1010">
            <v>2000000</v>
          </cell>
        </row>
        <row r="1112">
          <cell r="AC1112">
            <v>896896</v>
          </cell>
          <cell r="AG1112">
            <v>35075200</v>
          </cell>
        </row>
        <row r="1158">
          <cell r="AC1158">
            <v>1880200</v>
          </cell>
        </row>
        <row r="1184">
          <cell r="H1184">
            <v>134198180</v>
          </cell>
        </row>
        <row r="1186">
          <cell r="AC1186">
            <v>402216579</v>
          </cell>
        </row>
        <row r="1207">
          <cell r="L1207">
            <v>20000000</v>
          </cell>
          <cell r="Z1207">
            <v>227771151</v>
          </cell>
          <cell r="AA1207">
            <v>144029244</v>
          </cell>
          <cell r="AG1207">
            <v>18000000</v>
          </cell>
        </row>
        <row r="1208">
          <cell r="H1208">
            <v>16554499</v>
          </cell>
        </row>
        <row r="1212">
          <cell r="H1212">
            <v>35360000</v>
          </cell>
        </row>
        <row r="1218">
          <cell r="H1218">
            <v>39253334</v>
          </cell>
        </row>
        <row r="1225">
          <cell r="H1225">
            <v>10640000</v>
          </cell>
        </row>
        <row r="1229">
          <cell r="H1229">
            <v>8106667</v>
          </cell>
        </row>
        <row r="1233">
          <cell r="H1233">
            <v>14850000</v>
          </cell>
        </row>
        <row r="1237">
          <cell r="H1237">
            <v>1712800</v>
          </cell>
        </row>
        <row r="1242">
          <cell r="H1242">
            <v>13923840</v>
          </cell>
        </row>
        <row r="1272">
          <cell r="H1272">
            <v>578765</v>
          </cell>
        </row>
        <row r="1276">
          <cell r="H1276">
            <v>15320000</v>
          </cell>
        </row>
        <row r="1280">
          <cell r="H1280">
            <v>5000000</v>
          </cell>
        </row>
        <row r="1287">
          <cell r="H1287">
            <v>14106000</v>
          </cell>
        </row>
        <row r="1294">
          <cell r="H1294">
            <v>3735600</v>
          </cell>
        </row>
        <row r="1299">
          <cell r="H1299">
            <v>2500000</v>
          </cell>
        </row>
        <row r="1302">
          <cell r="H1302">
            <v>8620000</v>
          </cell>
        </row>
        <row r="1308">
          <cell r="H1308">
            <v>33046567</v>
          </cell>
        </row>
        <row r="1315">
          <cell r="H1315">
            <v>6360900</v>
          </cell>
        </row>
        <row r="1323">
          <cell r="H1323">
            <v>20062224</v>
          </cell>
        </row>
        <row r="1332">
          <cell r="H1332">
            <v>45666667</v>
          </cell>
        </row>
        <row r="1338">
          <cell r="H1338">
            <v>14333333</v>
          </cell>
        </row>
        <row r="1341">
          <cell r="H1341">
            <v>11466667</v>
          </cell>
        </row>
        <row r="1344">
          <cell r="H1344">
            <v>14333333</v>
          </cell>
        </row>
        <row r="1347">
          <cell r="H1347">
            <v>18250800</v>
          </cell>
        </row>
        <row r="1354">
          <cell r="H1354">
            <v>8655360</v>
          </cell>
        </row>
        <row r="1384">
          <cell r="H1384">
            <v>5950000</v>
          </cell>
        </row>
        <row r="1387">
          <cell r="H1387">
            <v>5160960</v>
          </cell>
        </row>
        <row r="1397">
          <cell r="H1397">
            <v>5000000</v>
          </cell>
        </row>
        <row r="1403">
          <cell r="H1403">
            <v>3999960</v>
          </cell>
        </row>
        <row r="1408">
          <cell r="H1408">
            <v>17749800</v>
          </cell>
        </row>
        <row r="1445">
          <cell r="H1445">
            <v>5400000</v>
          </cell>
        </row>
        <row r="1467">
          <cell r="H1467">
            <v>3600000</v>
          </cell>
        </row>
        <row r="1485">
          <cell r="AG1485">
            <v>22720706</v>
          </cell>
        </row>
        <row r="1486">
          <cell r="H1486">
            <v>10830500</v>
          </cell>
        </row>
        <row r="1503">
          <cell r="H1503">
            <v>5688109</v>
          </cell>
        </row>
        <row r="1509">
          <cell r="H1509">
            <v>7860706</v>
          </cell>
        </row>
        <row r="1536">
          <cell r="H1536">
            <v>720000</v>
          </cell>
        </row>
        <row r="1550">
          <cell r="H1550">
            <v>31139998</v>
          </cell>
        </row>
        <row r="1556">
          <cell r="H1556">
            <v>185186654</v>
          </cell>
        </row>
        <row r="1660">
          <cell r="H1660">
            <v>7499995</v>
          </cell>
        </row>
        <row r="1666">
          <cell r="H1666">
            <v>88243190</v>
          </cell>
        </row>
        <row r="1708">
          <cell r="H1708">
            <v>31250000</v>
          </cell>
        </row>
        <row r="1716">
          <cell r="H1716">
            <v>1200000</v>
          </cell>
        </row>
        <row r="1749">
          <cell r="H1749">
            <v>99000000</v>
          </cell>
        </row>
        <row r="1766">
          <cell r="H1766">
            <v>52468836</v>
          </cell>
        </row>
        <row r="1771">
          <cell r="H1771">
            <v>38687104</v>
          </cell>
        </row>
        <row r="1794">
          <cell r="AG1794">
            <v>9700000</v>
          </cell>
        </row>
        <row r="1799">
          <cell r="H1799">
            <v>840000</v>
          </cell>
        </row>
        <row r="1802">
          <cell r="H1802">
            <v>4341160</v>
          </cell>
        </row>
        <row r="1816">
          <cell r="H1816">
            <v>2500000</v>
          </cell>
        </row>
        <row r="1836">
          <cell r="AG1836">
            <v>8200000</v>
          </cell>
        </row>
        <row r="1877">
          <cell r="AG1877">
            <v>45000000</v>
          </cell>
        </row>
        <row r="1878">
          <cell r="H1878">
            <v>19997000</v>
          </cell>
        </row>
        <row r="1884">
          <cell r="H1884">
            <v>17999996</v>
          </cell>
        </row>
        <row r="1887">
          <cell r="H1887">
            <v>871000</v>
          </cell>
        </row>
        <row r="1898">
          <cell r="H1898">
            <v>10000000</v>
          </cell>
        </row>
        <row r="1901">
          <cell r="H1901">
            <v>5503000</v>
          </cell>
        </row>
        <row r="1908">
          <cell r="H1908">
            <v>17000000</v>
          </cell>
        </row>
        <row r="1913">
          <cell r="H1913">
            <v>14999996</v>
          </cell>
        </row>
        <row r="1917">
          <cell r="H1917">
            <v>24000000</v>
          </cell>
        </row>
        <row r="1928">
          <cell r="AG1928">
            <v>81000000</v>
          </cell>
        </row>
        <row r="1929">
          <cell r="H1929">
            <v>13000000</v>
          </cell>
        </row>
        <row r="1934">
          <cell r="H1934">
            <v>14849996</v>
          </cell>
        </row>
        <row r="1942">
          <cell r="H1942">
            <v>1077000</v>
          </cell>
        </row>
        <row r="1946">
          <cell r="H1946">
            <v>10324460</v>
          </cell>
        </row>
        <row r="1972">
          <cell r="H1972">
            <v>2500000</v>
          </cell>
        </row>
        <row r="1975">
          <cell r="H1975">
            <v>17999994</v>
          </cell>
        </row>
        <row r="1978">
          <cell r="H1978">
            <v>1700000</v>
          </cell>
        </row>
        <row r="1981">
          <cell r="H1981">
            <v>1619060</v>
          </cell>
        </row>
        <row r="1984">
          <cell r="H1984">
            <v>10148300</v>
          </cell>
        </row>
        <row r="2058">
          <cell r="H2058">
            <v>120316892</v>
          </cell>
        </row>
        <row r="2061">
          <cell r="H2061">
            <v>53222221</v>
          </cell>
        </row>
        <row r="2074">
          <cell r="H2074">
            <v>7938750</v>
          </cell>
        </row>
        <row r="2090">
          <cell r="AD2090">
            <v>290803643</v>
          </cell>
        </row>
        <row r="2123">
          <cell r="H2123">
            <v>8000000</v>
          </cell>
        </row>
        <row r="2126">
          <cell r="H2126">
            <v>24773560</v>
          </cell>
        </row>
        <row r="2141">
          <cell r="H2141">
            <v>26616000</v>
          </cell>
        </row>
        <row r="2149">
          <cell r="H2149">
            <v>32361400</v>
          </cell>
        </row>
        <row r="2166">
          <cell r="H2166">
            <v>4963334</v>
          </cell>
        </row>
        <row r="2183">
          <cell r="H2183">
            <v>32881940</v>
          </cell>
        </row>
        <row r="2203">
          <cell r="H2203">
            <v>19852760</v>
          </cell>
        </row>
        <row r="2211">
          <cell r="H2211">
            <v>13182552</v>
          </cell>
        </row>
        <row r="2262">
          <cell r="H2262">
            <v>2576722688</v>
          </cell>
        </row>
        <row r="2264">
          <cell r="Q2264">
            <v>36800000</v>
          </cell>
          <cell r="Y2264">
            <v>3316172938</v>
          </cell>
          <cell r="AB2264">
            <v>19428638</v>
          </cell>
        </row>
        <row r="2584">
          <cell r="H2584">
            <v>8799999</v>
          </cell>
        </row>
        <row r="2603">
          <cell r="H2603">
            <v>15599997</v>
          </cell>
        </row>
        <row r="2624">
          <cell r="H2624">
            <v>1873696</v>
          </cell>
        </row>
        <row r="2641">
          <cell r="H2641">
            <v>698323</v>
          </cell>
        </row>
        <row r="2705">
          <cell r="H2705">
            <v>12600000</v>
          </cell>
        </row>
        <row r="2718">
          <cell r="AG2718">
            <v>69580103</v>
          </cell>
        </row>
        <row r="2719">
          <cell r="H2719">
            <v>18520967</v>
          </cell>
        </row>
        <row r="2723">
          <cell r="H2723">
            <v>19950000</v>
          </cell>
        </row>
        <row r="2728">
          <cell r="H2728">
            <v>16404940</v>
          </cell>
        </row>
        <row r="2736">
          <cell r="H2736">
            <v>22580103</v>
          </cell>
        </row>
        <row r="2739">
          <cell r="H2739">
            <v>13766602</v>
          </cell>
        </row>
        <row r="2742">
          <cell r="H2742">
            <v>1350000</v>
          </cell>
        </row>
        <row r="2745">
          <cell r="H2745">
            <v>19320000</v>
          </cell>
        </row>
        <row r="2749">
          <cell r="H2749">
            <v>13870000</v>
          </cell>
        </row>
        <row r="2757">
          <cell r="Q2757">
            <v>88321784</v>
          </cell>
          <cell r="AG2757">
            <v>6000000</v>
          </cell>
        </row>
        <row r="2758">
          <cell r="H2758">
            <v>16406000</v>
          </cell>
        </row>
        <row r="2777">
          <cell r="H2777">
            <v>49220050</v>
          </cell>
        </row>
        <row r="2791">
          <cell r="H2791">
            <v>3120000</v>
          </cell>
        </row>
        <row r="2796">
          <cell r="H2796">
            <v>26520000</v>
          </cell>
        </row>
        <row r="2802">
          <cell r="H2802">
            <v>7557100</v>
          </cell>
        </row>
        <row r="2818">
          <cell r="G2818">
            <v>1994440370</v>
          </cell>
          <cell r="H2818">
            <v>1300418840</v>
          </cell>
        </row>
        <row r="2824">
          <cell r="K2824">
            <v>18590000</v>
          </cell>
          <cell r="AG2824">
            <v>11500000</v>
          </cell>
        </row>
        <row r="2825">
          <cell r="H2825">
            <v>8106667</v>
          </cell>
        </row>
        <row r="2857">
          <cell r="H2857">
            <v>7999998</v>
          </cell>
        </row>
        <row r="2867">
          <cell r="K2867">
            <v>15842343</v>
          </cell>
        </row>
        <row r="2894">
          <cell r="AG2894">
            <v>41000000</v>
          </cell>
        </row>
        <row r="2930">
          <cell r="AF2930">
            <v>152500000</v>
          </cell>
        </row>
        <row r="2931">
          <cell r="H2931">
            <v>14699000</v>
          </cell>
        </row>
        <row r="2937">
          <cell r="H2937">
            <v>6916666</v>
          </cell>
        </row>
        <row r="2940">
          <cell r="H2940">
            <v>49756667</v>
          </cell>
        </row>
        <row r="2959">
          <cell r="AG2959">
            <v>101487963</v>
          </cell>
        </row>
        <row r="3028">
          <cell r="U3028">
            <v>4389010</v>
          </cell>
        </row>
        <row r="3064">
          <cell r="K3064">
            <v>4389010</v>
          </cell>
        </row>
        <row r="3082">
          <cell r="AG3082">
            <v>20000000</v>
          </cell>
        </row>
        <row r="3123">
          <cell r="H3123">
            <v>2700000</v>
          </cell>
        </row>
        <row r="3137">
          <cell r="K3137">
            <v>9560759</v>
          </cell>
          <cell r="U3137">
            <v>11885908</v>
          </cell>
        </row>
        <row r="3162">
          <cell r="H3162">
            <v>18019465</v>
          </cell>
        </row>
        <row r="3169">
          <cell r="H3169">
            <v>39052132</v>
          </cell>
        </row>
        <row r="3178">
          <cell r="H3178">
            <v>45197868</v>
          </cell>
        </row>
        <row r="3196">
          <cell r="H3196">
            <v>81350000</v>
          </cell>
        </row>
        <row r="3205">
          <cell r="H3205">
            <v>18650000</v>
          </cell>
        </row>
        <row r="3208">
          <cell r="H3208">
            <v>17650000</v>
          </cell>
        </row>
        <row r="3215">
          <cell r="H3215">
            <v>32250000</v>
          </cell>
        </row>
        <row r="3222">
          <cell r="H3222">
            <v>15000000</v>
          </cell>
        </row>
        <row r="3226">
          <cell r="H3226">
            <v>39766666</v>
          </cell>
        </row>
        <row r="3234">
          <cell r="K3234">
            <v>84333333</v>
          </cell>
        </row>
        <row r="3270">
          <cell r="AA3270">
            <v>30700000</v>
          </cell>
        </row>
        <row r="3271">
          <cell r="H3271">
            <v>27000000</v>
          </cell>
        </row>
        <row r="3274">
          <cell r="H3274">
            <v>13263333</v>
          </cell>
        </row>
        <row r="3277">
          <cell r="H3277">
            <v>11106666</v>
          </cell>
        </row>
        <row r="3292">
          <cell r="H3292">
            <v>10350000</v>
          </cell>
        </row>
        <row r="3296">
          <cell r="H3296">
            <v>6916667</v>
          </cell>
        </row>
        <row r="3300">
          <cell r="H3300">
            <v>9180000</v>
          </cell>
        </row>
        <row r="3304">
          <cell r="H3304">
            <v>60000000</v>
          </cell>
        </row>
        <row r="3327">
          <cell r="H3327">
            <v>3083333</v>
          </cell>
        </row>
        <row r="3330">
          <cell r="H3330">
            <v>3000000</v>
          </cell>
        </row>
        <row r="3340">
          <cell r="H3340">
            <v>10333333</v>
          </cell>
        </row>
        <row r="3345">
          <cell r="H3345">
            <v>2104745694</v>
          </cell>
        </row>
        <row r="3356">
          <cell r="H3356">
            <v>6000000</v>
          </cell>
        </row>
        <row r="3384">
          <cell r="H3384">
            <v>4680000</v>
          </cell>
        </row>
        <row r="3406">
          <cell r="AG3406">
            <v>33922914</v>
          </cell>
        </row>
        <row r="3407">
          <cell r="H3407">
            <v>15518000</v>
          </cell>
        </row>
        <row r="3434">
          <cell r="H3434">
            <v>14447000</v>
          </cell>
        </row>
        <row r="3467">
          <cell r="H3467">
            <v>68759990</v>
          </cell>
        </row>
        <row r="3480">
          <cell r="H3480">
            <v>2948685</v>
          </cell>
        </row>
        <row r="3492">
          <cell r="H3492">
            <v>1721739</v>
          </cell>
        </row>
        <row r="3495">
          <cell r="H3495">
            <v>65160616</v>
          </cell>
        </row>
        <row r="3510">
          <cell r="H3510">
            <v>19572707</v>
          </cell>
        </row>
        <row r="3567">
          <cell r="H3567">
            <v>4906000</v>
          </cell>
        </row>
        <row r="3570">
          <cell r="H3570">
            <v>5289000</v>
          </cell>
        </row>
        <row r="3582">
          <cell r="H3582">
            <v>4906000</v>
          </cell>
        </row>
        <row r="3587">
          <cell r="K3587">
            <v>49069995</v>
          </cell>
        </row>
        <row r="3654">
          <cell r="H3654">
            <v>10000000</v>
          </cell>
        </row>
        <row r="3686">
          <cell r="AA3686">
            <v>78117019</v>
          </cell>
          <cell r="AB3686">
            <v>277047545</v>
          </cell>
          <cell r="AG3686">
            <v>560906953</v>
          </cell>
        </row>
        <row r="3687">
          <cell r="H3687">
            <v>89110327</v>
          </cell>
        </row>
        <row r="3708">
          <cell r="H3708">
            <v>88291349</v>
          </cell>
        </row>
        <row r="3722">
          <cell r="H3722">
            <v>60000000</v>
          </cell>
        </row>
        <row r="3737">
          <cell r="H3737">
            <v>12266667</v>
          </cell>
        </row>
        <row r="3741">
          <cell r="H3741">
            <v>14933333</v>
          </cell>
        </row>
        <row r="3745">
          <cell r="H3745">
            <v>13866667</v>
          </cell>
        </row>
        <row r="3750">
          <cell r="H3750">
            <v>18666661</v>
          </cell>
        </row>
        <row r="3755">
          <cell r="H3755">
            <v>13866667</v>
          </cell>
        </row>
        <row r="3758">
          <cell r="H3758">
            <v>15000000</v>
          </cell>
        </row>
        <row r="3784">
          <cell r="H3784">
            <v>140000000</v>
          </cell>
        </row>
        <row r="3815">
          <cell r="H3815">
            <v>22498750</v>
          </cell>
        </row>
        <row r="3819">
          <cell r="H3819">
            <v>12500000</v>
          </cell>
        </row>
        <row r="3824">
          <cell r="H3824">
            <v>7166180</v>
          </cell>
        </row>
        <row r="3830">
          <cell r="H3830">
            <v>12500000</v>
          </cell>
        </row>
        <row r="3835">
          <cell r="H3835">
            <v>2419200</v>
          </cell>
        </row>
        <row r="3846">
          <cell r="H3846">
            <v>15000000</v>
          </cell>
        </row>
        <row r="3861">
          <cell r="H3861">
            <v>1128960</v>
          </cell>
        </row>
        <row r="3870">
          <cell r="H3870">
            <v>1895040</v>
          </cell>
        </row>
        <row r="3888">
          <cell r="H3888">
            <v>300000</v>
          </cell>
        </row>
        <row r="3891">
          <cell r="H3891">
            <v>1010688</v>
          </cell>
        </row>
        <row r="3902">
          <cell r="H3902">
            <v>1128960</v>
          </cell>
        </row>
        <row r="3907">
          <cell r="H3907">
            <v>1128960</v>
          </cell>
        </row>
        <row r="3915">
          <cell r="H3915">
            <v>752640</v>
          </cell>
        </row>
        <row r="3926">
          <cell r="H3926">
            <v>1128960</v>
          </cell>
        </row>
        <row r="3935">
          <cell r="H3935">
            <v>1128960</v>
          </cell>
        </row>
        <row r="3955">
          <cell r="H3955">
            <v>5674702</v>
          </cell>
        </row>
        <row r="3959">
          <cell r="H3959">
            <v>8999998</v>
          </cell>
        </row>
        <row r="3963">
          <cell r="H3963">
            <v>7599999</v>
          </cell>
        </row>
        <row r="3966">
          <cell r="H3966">
            <v>6586666</v>
          </cell>
        </row>
        <row r="3969">
          <cell r="H3969">
            <v>8866665</v>
          </cell>
        </row>
        <row r="3972">
          <cell r="H3972">
            <v>8999998</v>
          </cell>
        </row>
        <row r="3975">
          <cell r="H3975">
            <v>5826666</v>
          </cell>
        </row>
        <row r="3984">
          <cell r="H3984">
            <v>1008000</v>
          </cell>
        </row>
        <row r="3993">
          <cell r="H3993">
            <v>559104</v>
          </cell>
        </row>
        <row r="3998">
          <cell r="H3998">
            <v>1322496</v>
          </cell>
        </row>
        <row r="4004">
          <cell r="H4004">
            <v>580000</v>
          </cell>
        </row>
        <row r="4008">
          <cell r="H4008">
            <v>400080</v>
          </cell>
        </row>
        <row r="4015">
          <cell r="H4015">
            <v>62656759</v>
          </cell>
        </row>
        <row r="4025">
          <cell r="H4025">
            <v>893700</v>
          </cell>
        </row>
        <row r="4032">
          <cell r="H4032">
            <v>2924544</v>
          </cell>
        </row>
        <row r="4039">
          <cell r="H4039">
            <v>1238961</v>
          </cell>
        </row>
        <row r="4042">
          <cell r="H4042">
            <v>860160</v>
          </cell>
        </row>
        <row r="4046">
          <cell r="H4046">
            <v>2110080</v>
          </cell>
        </row>
        <row r="4063">
          <cell r="H4063">
            <v>645120</v>
          </cell>
        </row>
        <row r="4068">
          <cell r="H4068">
            <v>981120</v>
          </cell>
        </row>
        <row r="4072">
          <cell r="H4072">
            <v>1799999</v>
          </cell>
        </row>
        <row r="4077">
          <cell r="G4077">
            <v>2285907</v>
          </cell>
        </row>
        <row r="4093">
          <cell r="H4093">
            <v>1600000</v>
          </cell>
        </row>
        <row r="4110">
          <cell r="H4110">
            <v>3150000</v>
          </cell>
        </row>
        <row r="4119">
          <cell r="H4119">
            <v>3150000</v>
          </cell>
        </row>
        <row r="4124">
          <cell r="H4124">
            <v>9999999</v>
          </cell>
        </row>
        <row r="4131">
          <cell r="H4131">
            <v>8000000</v>
          </cell>
        </row>
        <row r="4133">
          <cell r="H4133">
            <v>6500000</v>
          </cell>
        </row>
        <row r="4135">
          <cell r="H4135">
            <v>2700000</v>
          </cell>
        </row>
        <row r="4137">
          <cell r="H4137">
            <v>7500000</v>
          </cell>
        </row>
        <row r="4139">
          <cell r="H4139">
            <v>8750000</v>
          </cell>
        </row>
        <row r="4141">
          <cell r="H4141">
            <v>9000000</v>
          </cell>
        </row>
        <row r="4143">
          <cell r="H4143">
            <v>9000000</v>
          </cell>
        </row>
        <row r="4145">
          <cell r="H4145">
            <v>5750000</v>
          </cell>
        </row>
        <row r="4159">
          <cell r="H4159">
            <v>591360</v>
          </cell>
        </row>
        <row r="4162">
          <cell r="H4162">
            <v>591360</v>
          </cell>
        </row>
        <row r="4165">
          <cell r="H4165">
            <v>1800000</v>
          </cell>
        </row>
        <row r="4168">
          <cell r="H4168">
            <v>723072</v>
          </cell>
        </row>
        <row r="4173">
          <cell r="H4173">
            <v>6900000</v>
          </cell>
        </row>
        <row r="4176">
          <cell r="H4176">
            <v>1221155</v>
          </cell>
        </row>
        <row r="4178">
          <cell r="H4178">
            <v>700000</v>
          </cell>
        </row>
        <row r="4181">
          <cell r="H4181">
            <v>22054662</v>
          </cell>
        </row>
        <row r="4195">
          <cell r="H4195">
            <v>1723624</v>
          </cell>
        </row>
        <row r="4231">
          <cell r="AG4231">
            <v>80000000</v>
          </cell>
        </row>
        <row r="4259">
          <cell r="H4259">
            <v>183323761</v>
          </cell>
        </row>
        <row r="4293">
          <cell r="H4293">
            <v>74657121</v>
          </cell>
        </row>
        <row r="4295">
          <cell r="AA4295">
            <v>69820092</v>
          </cell>
        </row>
        <row r="4359">
          <cell r="H4359">
            <v>101004388</v>
          </cell>
        </row>
        <row r="4361">
          <cell r="AG4361">
            <v>5000000</v>
          </cell>
        </row>
        <row r="4362">
          <cell r="H4362">
            <v>33575710</v>
          </cell>
        </row>
        <row r="4368">
          <cell r="H4368">
            <v>14448484</v>
          </cell>
        </row>
        <row r="4374">
          <cell r="H4374">
            <v>11969998</v>
          </cell>
        </row>
        <row r="4378">
          <cell r="H4378">
            <v>1585000</v>
          </cell>
        </row>
        <row r="4381">
          <cell r="H4381">
            <v>14625196</v>
          </cell>
        </row>
        <row r="4394">
          <cell r="H4394">
            <v>84508997</v>
          </cell>
        </row>
        <row r="4396">
          <cell r="K4396">
            <v>56909000</v>
          </cell>
        </row>
        <row r="4397">
          <cell r="H4397">
            <v>54720000</v>
          </cell>
        </row>
        <row r="4403">
          <cell r="H4403">
            <v>1036491</v>
          </cell>
        </row>
        <row r="4409">
          <cell r="H4409">
            <v>1152509</v>
          </cell>
        </row>
        <row r="4421">
          <cell r="H4421">
            <v>35853272</v>
          </cell>
        </row>
        <row r="4423">
          <cell r="K4423">
            <v>41000000</v>
          </cell>
        </row>
        <row r="4424">
          <cell r="H4424">
            <v>19353332</v>
          </cell>
        </row>
        <row r="4428">
          <cell r="H4428">
            <v>5000000</v>
          </cell>
        </row>
        <row r="4439">
          <cell r="H4439">
            <v>124513739</v>
          </cell>
        </row>
        <row r="4441">
          <cell r="AG4441">
            <v>57057756</v>
          </cell>
        </row>
        <row r="4442">
          <cell r="H4442">
            <v>45831993</v>
          </cell>
        </row>
        <row r="4449">
          <cell r="H4449">
            <v>10290000</v>
          </cell>
        </row>
        <row r="4475">
          <cell r="H4475">
            <v>20100000</v>
          </cell>
        </row>
        <row r="4488">
          <cell r="H4488">
            <v>29768333</v>
          </cell>
        </row>
        <row r="4492">
          <cell r="H4492">
            <v>29768333</v>
          </cell>
        </row>
        <row r="4500">
          <cell r="H4500">
            <v>5000000</v>
          </cell>
        </row>
        <row r="4503">
          <cell r="H4503">
            <v>7166666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"/>
    </sheetNames>
    <sheetDataSet>
      <sheetData sheetId="0">
        <row r="38">
          <cell r="H38">
            <v>3643156231</v>
          </cell>
        </row>
        <row r="41">
          <cell r="H41">
            <v>255145313</v>
          </cell>
        </row>
        <row r="65">
          <cell r="H65">
            <v>7582275</v>
          </cell>
        </row>
        <row r="92">
          <cell r="AF92">
            <v>14435135</v>
          </cell>
          <cell r="AG92">
            <v>20000000</v>
          </cell>
        </row>
        <row r="191">
          <cell r="H191">
            <v>27470620</v>
          </cell>
        </row>
        <row r="209">
          <cell r="G209">
            <v>60331214</v>
          </cell>
        </row>
        <row r="266">
          <cell r="H266">
            <v>14900000</v>
          </cell>
        </row>
        <row r="328">
          <cell r="AA328">
            <v>25990000</v>
          </cell>
        </row>
        <row r="341">
          <cell r="H341">
            <v>25990000</v>
          </cell>
        </row>
        <row r="349">
          <cell r="AA349">
            <v>207399583</v>
          </cell>
        </row>
        <row r="350">
          <cell r="H350">
            <v>1805576</v>
          </cell>
        </row>
        <row r="359">
          <cell r="H359">
            <v>207399583</v>
          </cell>
        </row>
        <row r="442">
          <cell r="H442">
            <v>117504006</v>
          </cell>
        </row>
        <row r="448">
          <cell r="H448">
            <v>178500</v>
          </cell>
        </row>
        <row r="651">
          <cell r="H651">
            <v>17933333</v>
          </cell>
        </row>
        <row r="653">
          <cell r="K653">
            <v>17933334</v>
          </cell>
        </row>
        <row r="739">
          <cell r="H739">
            <v>1881354</v>
          </cell>
        </row>
        <row r="744">
          <cell r="H744">
            <v>22230608</v>
          </cell>
        </row>
        <row r="770">
          <cell r="H770">
            <v>3332000</v>
          </cell>
        </row>
        <row r="796">
          <cell r="Z796">
            <v>14740001</v>
          </cell>
        </row>
        <row r="807">
          <cell r="Z807">
            <v>56100000</v>
          </cell>
        </row>
        <row r="843">
          <cell r="Z843">
            <v>11960000</v>
          </cell>
        </row>
        <row r="851">
          <cell r="H851">
            <v>69296665</v>
          </cell>
        </row>
        <row r="972">
          <cell r="AC972">
            <v>22663166</v>
          </cell>
        </row>
        <row r="994">
          <cell r="J994">
            <v>23731165</v>
          </cell>
          <cell r="N994">
            <v>24243035</v>
          </cell>
          <cell r="Z994">
            <v>264613337</v>
          </cell>
        </row>
        <row r="1064">
          <cell r="H1064">
            <v>55486666</v>
          </cell>
        </row>
        <row r="1098">
          <cell r="H1098">
            <v>64656665</v>
          </cell>
        </row>
        <row r="1100">
          <cell r="Z1100">
            <v>64656665</v>
          </cell>
        </row>
        <row r="1142">
          <cell r="AB1142">
            <v>13620000</v>
          </cell>
          <cell r="AC1142">
            <v>39307165</v>
          </cell>
        </row>
        <row r="1334">
          <cell r="H1334">
            <v>179439997</v>
          </cell>
        </row>
        <row r="1374">
          <cell r="Q1374">
            <v>41899995</v>
          </cell>
        </row>
        <row r="1393">
          <cell r="Q1393">
            <v>2000000</v>
          </cell>
        </row>
        <row r="1402">
          <cell r="Q1402">
            <v>39232274</v>
          </cell>
          <cell r="R1402">
            <v>15000000</v>
          </cell>
          <cell r="S1402">
            <v>20000000</v>
          </cell>
          <cell r="T1402">
            <v>45134741</v>
          </cell>
        </row>
        <row r="1428">
          <cell r="H1428">
            <v>1056000</v>
          </cell>
        </row>
        <row r="1435">
          <cell r="G1435">
            <v>8487690</v>
          </cell>
        </row>
        <row r="1722">
          <cell r="H1722">
            <v>2200000</v>
          </cell>
        </row>
        <row r="1727">
          <cell r="H1727">
            <v>6000000</v>
          </cell>
        </row>
        <row r="1742">
          <cell r="H1742">
            <v>1800000</v>
          </cell>
        </row>
        <row r="1749">
          <cell r="Q1749">
            <v>30000000</v>
          </cell>
        </row>
        <row r="1762">
          <cell r="Q1762">
            <v>123490000</v>
          </cell>
        </row>
        <row r="1806">
          <cell r="Q1806">
            <v>61205363</v>
          </cell>
          <cell r="AB1806">
            <v>48658840</v>
          </cell>
        </row>
        <row r="1935">
          <cell r="Q1935">
            <v>96777779</v>
          </cell>
        </row>
        <row r="1961">
          <cell r="H1961">
            <v>7000000</v>
          </cell>
        </row>
        <row r="1970">
          <cell r="H1970">
            <v>14946000</v>
          </cell>
        </row>
        <row r="1974">
          <cell r="H1974">
            <v>1999500</v>
          </cell>
        </row>
        <row r="1977">
          <cell r="H1977">
            <v>20000000</v>
          </cell>
        </row>
        <row r="1982">
          <cell r="H1982">
            <v>3850000</v>
          </cell>
        </row>
        <row r="2029">
          <cell r="H2029">
            <v>10000000</v>
          </cell>
        </row>
        <row r="2043">
          <cell r="H2043">
            <v>10000000</v>
          </cell>
        </row>
        <row r="2047">
          <cell r="H2047">
            <v>1847300</v>
          </cell>
        </row>
        <row r="2121">
          <cell r="H2121">
            <v>428000</v>
          </cell>
        </row>
        <row r="2533">
          <cell r="Q2533">
            <v>43810888</v>
          </cell>
        </row>
        <row r="2628">
          <cell r="AA2628">
            <v>23063870</v>
          </cell>
        </row>
        <row r="2696">
          <cell r="H2696">
            <v>15986666</v>
          </cell>
        </row>
        <row r="2713">
          <cell r="L2713">
            <v>114000000</v>
          </cell>
        </row>
        <row r="2761">
          <cell r="U2761">
            <v>103336066</v>
          </cell>
        </row>
        <row r="2762">
          <cell r="H2762">
            <v>55296666</v>
          </cell>
        </row>
        <row r="2771">
          <cell r="H2771">
            <v>13000000</v>
          </cell>
        </row>
        <row r="2777">
          <cell r="H2777">
            <v>5000000</v>
          </cell>
        </row>
        <row r="2780">
          <cell r="H2780">
            <v>460000</v>
          </cell>
        </row>
        <row r="2783">
          <cell r="H2783">
            <v>19983333</v>
          </cell>
        </row>
        <row r="2787">
          <cell r="H2787">
            <v>1569430</v>
          </cell>
        </row>
        <row r="2797">
          <cell r="H2797">
            <v>1000000</v>
          </cell>
        </row>
        <row r="2802">
          <cell r="H2802">
            <v>6786666</v>
          </cell>
        </row>
        <row r="2805">
          <cell r="H2805">
            <v>14672642</v>
          </cell>
        </row>
        <row r="2809">
          <cell r="H2809">
            <v>33366757</v>
          </cell>
        </row>
        <row r="2814">
          <cell r="H2814">
            <v>7362725</v>
          </cell>
        </row>
        <row r="2817">
          <cell r="H2817">
            <v>2500000</v>
          </cell>
        </row>
        <row r="2834">
          <cell r="H2834">
            <v>107658932</v>
          </cell>
        </row>
        <row r="2886">
          <cell r="K2886">
            <v>55836506</v>
          </cell>
        </row>
        <row r="2887">
          <cell r="H2887">
            <v>10400000</v>
          </cell>
        </row>
        <row r="2890">
          <cell r="H2890">
            <v>6946666</v>
          </cell>
        </row>
        <row r="2894">
          <cell r="H2894">
            <v>14140000</v>
          </cell>
        </row>
        <row r="2902">
          <cell r="H2902">
            <v>8000000</v>
          </cell>
        </row>
        <row r="2908">
          <cell r="H2908">
            <v>3000000</v>
          </cell>
        </row>
        <row r="2913">
          <cell r="H2913">
            <v>383174</v>
          </cell>
        </row>
        <row r="2916">
          <cell r="H2916">
            <v>1000000</v>
          </cell>
        </row>
        <row r="2920">
          <cell r="H2920">
            <v>12080758</v>
          </cell>
        </row>
        <row r="2924">
          <cell r="H2924">
            <v>11885428</v>
          </cell>
        </row>
        <row r="2955">
          <cell r="AA2955">
            <v>102807334</v>
          </cell>
        </row>
        <row r="2987">
          <cell r="H2987">
            <v>10000000</v>
          </cell>
        </row>
        <row r="2996">
          <cell r="AA2996">
            <v>90040000</v>
          </cell>
        </row>
        <row r="3088">
          <cell r="K3088">
            <v>112000000</v>
          </cell>
        </row>
        <row r="3148">
          <cell r="K3148">
            <v>20674107</v>
          </cell>
        </row>
        <row r="3155">
          <cell r="H3155">
            <v>7700314</v>
          </cell>
        </row>
        <row r="3159">
          <cell r="H3159">
            <v>908250</v>
          </cell>
        </row>
        <row r="3164">
          <cell r="K3164">
            <v>83100000</v>
          </cell>
        </row>
        <row r="3209">
          <cell r="H3209">
            <v>3376164</v>
          </cell>
        </row>
        <row r="3214">
          <cell r="H3214">
            <v>3012742</v>
          </cell>
        </row>
        <row r="3220">
          <cell r="H3220">
            <v>5265000</v>
          </cell>
        </row>
        <row r="3224">
          <cell r="H3224">
            <v>595000</v>
          </cell>
        </row>
        <row r="3240">
          <cell r="H3240">
            <v>3474008</v>
          </cell>
        </row>
        <row r="3249">
          <cell r="H3249">
            <v>548679</v>
          </cell>
        </row>
        <row r="3260">
          <cell r="AA3260">
            <v>45166667</v>
          </cell>
        </row>
        <row r="3343">
          <cell r="AA3343">
            <v>10195000</v>
          </cell>
        </row>
        <row r="3365">
          <cell r="AA3365">
            <v>4906000</v>
          </cell>
        </row>
        <row r="3418">
          <cell r="AA3418">
            <v>10000000</v>
          </cell>
        </row>
        <row r="3956">
          <cell r="H3956">
            <v>53945375</v>
          </cell>
        </row>
        <row r="3988">
          <cell r="Y3988">
            <v>405014429</v>
          </cell>
        </row>
        <row r="4084">
          <cell r="AA4084">
            <v>25500000</v>
          </cell>
        </row>
        <row r="4113">
          <cell r="AA4113">
            <v>52600000</v>
          </cell>
        </row>
        <row r="4136">
          <cell r="AA4136">
            <v>26066666</v>
          </cell>
        </row>
        <row r="4152">
          <cell r="AA4152">
            <v>20100000</v>
          </cell>
        </row>
        <row r="4189">
          <cell r="K4189">
            <v>95174714</v>
          </cell>
        </row>
        <row r="4208">
          <cell r="K4208">
            <v>4900000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</sheetNames>
    <sheetDataSet>
      <sheetData sheetId="0">
        <row r="18">
          <cell r="J18">
            <v>255145313</v>
          </cell>
          <cell r="M18">
            <v>3644933044</v>
          </cell>
          <cell r="R18">
            <v>20000000</v>
          </cell>
          <cell r="W18">
            <v>20000000</v>
          </cell>
          <cell r="X18">
            <v>20000000</v>
          </cell>
        </row>
        <row r="71">
          <cell r="Q71">
            <v>90945077</v>
          </cell>
        </row>
        <row r="87">
          <cell r="U87">
            <v>63000000</v>
          </cell>
        </row>
        <row r="90">
          <cell r="H90">
            <v>300000000</v>
          </cell>
        </row>
        <row r="151">
          <cell r="J151">
            <v>56494070</v>
          </cell>
        </row>
        <row r="271">
          <cell r="P271">
            <v>265157791</v>
          </cell>
          <cell r="Y271">
            <v>113002893</v>
          </cell>
          <cell r="AA271">
            <v>238839316</v>
          </cell>
        </row>
        <row r="287">
          <cell r="H287">
            <v>149625195</v>
          </cell>
        </row>
        <row r="297">
          <cell r="H297">
            <v>63706319</v>
          </cell>
        </row>
        <row r="299">
          <cell r="K299">
            <v>63718320</v>
          </cell>
        </row>
        <row r="324">
          <cell r="H324">
            <v>379944264</v>
          </cell>
        </row>
        <row r="326">
          <cell r="K326">
            <v>380000000</v>
          </cell>
        </row>
        <row r="595">
          <cell r="H595">
            <v>3234000</v>
          </cell>
        </row>
        <row r="600">
          <cell r="H600">
            <v>12717240</v>
          </cell>
        </row>
        <row r="651">
          <cell r="H651">
            <v>57106667</v>
          </cell>
        </row>
        <row r="653">
          <cell r="Z653">
            <v>75000000</v>
          </cell>
        </row>
        <row r="666">
          <cell r="H666">
            <v>14740001</v>
          </cell>
        </row>
        <row r="677">
          <cell r="H677">
            <v>56100000</v>
          </cell>
        </row>
        <row r="713">
          <cell r="H713">
            <v>11960000</v>
          </cell>
        </row>
        <row r="725">
          <cell r="Z725">
            <v>70000000</v>
          </cell>
        </row>
        <row r="745">
          <cell r="AC745">
            <v>48200000</v>
          </cell>
        </row>
        <row r="827">
          <cell r="Z827">
            <v>101873500</v>
          </cell>
        </row>
        <row r="828">
          <cell r="H828">
            <v>101873500</v>
          </cell>
        </row>
        <row r="841">
          <cell r="H841">
            <v>22663166</v>
          </cell>
        </row>
        <row r="847">
          <cell r="H847">
            <v>170386669</v>
          </cell>
        </row>
        <row r="915">
          <cell r="AC915">
            <v>63000000</v>
          </cell>
        </row>
        <row r="1134">
          <cell r="Z1134">
            <v>200000000</v>
          </cell>
        </row>
        <row r="1247">
          <cell r="Q1247">
            <v>541326322</v>
          </cell>
        </row>
        <row r="1336">
          <cell r="Q1336">
            <v>248957093</v>
          </cell>
        </row>
        <row r="1398">
          <cell r="AG1398">
            <v>5000000</v>
          </cell>
        </row>
        <row r="1438">
          <cell r="H1438">
            <v>5000000</v>
          </cell>
        </row>
        <row r="1447">
          <cell r="Q1447">
            <v>10000000</v>
          </cell>
          <cell r="AB1447">
            <v>21341160</v>
          </cell>
        </row>
        <row r="1488">
          <cell r="Q1488">
            <v>16000000</v>
          </cell>
        </row>
        <row r="1514">
          <cell r="H1514">
            <v>13022394</v>
          </cell>
        </row>
        <row r="1608">
          <cell r="AB1608">
            <v>48666666</v>
          </cell>
        </row>
        <row r="1639">
          <cell r="AB1639">
            <v>26983866</v>
          </cell>
        </row>
        <row r="1656">
          <cell r="AB1656">
            <v>63222221</v>
          </cell>
        </row>
        <row r="1675">
          <cell r="AB1675">
            <v>73999500</v>
          </cell>
        </row>
        <row r="1790">
          <cell r="H1790">
            <v>27302328</v>
          </cell>
        </row>
        <row r="1792">
          <cell r="Q1792">
            <v>51753328</v>
          </cell>
        </row>
        <row r="2052">
          <cell r="AB2052">
            <v>3340137</v>
          </cell>
        </row>
        <row r="2073">
          <cell r="H2073">
            <v>12600000</v>
          </cell>
        </row>
        <row r="2079">
          <cell r="H2079">
            <v>3340000</v>
          </cell>
        </row>
        <row r="2085">
          <cell r="AB2085">
            <v>21000000</v>
          </cell>
        </row>
        <row r="2116">
          <cell r="AB2116">
            <v>41251266</v>
          </cell>
        </row>
        <row r="2167">
          <cell r="H2167">
            <v>7000000</v>
          </cell>
        </row>
        <row r="2170">
          <cell r="H2170">
            <v>3000000</v>
          </cell>
        </row>
        <row r="2175">
          <cell r="H2175">
            <v>1500000</v>
          </cell>
        </row>
        <row r="2193">
          <cell r="H2193">
            <v>11533333</v>
          </cell>
        </row>
        <row r="2199">
          <cell r="H2199">
            <v>11530537</v>
          </cell>
        </row>
        <row r="2204">
          <cell r="H2204">
            <v>30823333</v>
          </cell>
        </row>
        <row r="2206">
          <cell r="AA2206">
            <v>20000000</v>
          </cell>
        </row>
        <row r="2207">
          <cell r="H2207">
            <v>10640000</v>
          </cell>
        </row>
        <row r="2210">
          <cell r="H2210">
            <v>183333</v>
          </cell>
        </row>
        <row r="2351">
          <cell r="U2351">
            <v>107940267</v>
          </cell>
        </row>
        <row r="2388">
          <cell r="K2388">
            <v>12138000</v>
          </cell>
        </row>
        <row r="2465">
          <cell r="H2465">
            <v>91850000</v>
          </cell>
        </row>
        <row r="2499">
          <cell r="K2499">
            <v>119000000</v>
          </cell>
        </row>
        <row r="2528">
          <cell r="H2528">
            <v>101499999</v>
          </cell>
        </row>
        <row r="2530">
          <cell r="AA2530">
            <v>42333334</v>
          </cell>
        </row>
        <row r="2531">
          <cell r="H2531">
            <v>41500000</v>
          </cell>
        </row>
        <row r="2540">
          <cell r="H2540">
            <v>12833333</v>
          </cell>
        </row>
        <row r="2548">
          <cell r="H2548">
            <v>10000000</v>
          </cell>
        </row>
        <row r="2566">
          <cell r="K2566">
            <v>42216667</v>
          </cell>
        </row>
        <row r="2587">
          <cell r="O2587">
            <v>80000000</v>
          </cell>
        </row>
        <row r="2611">
          <cell r="H2611">
            <v>4316667</v>
          </cell>
        </row>
        <row r="2616">
          <cell r="H2616">
            <v>70983333</v>
          </cell>
        </row>
        <row r="2630">
          <cell r="H2630">
            <v>2416667</v>
          </cell>
        </row>
        <row r="2633">
          <cell r="H2633">
            <v>2000000</v>
          </cell>
        </row>
        <row r="2743">
          <cell r="K2743">
            <v>140300616</v>
          </cell>
        </row>
        <row r="2782">
          <cell r="H2782">
            <v>17200000</v>
          </cell>
        </row>
        <row r="2809">
          <cell r="H2809">
            <v>31152587</v>
          </cell>
        </row>
        <row r="2811">
          <cell r="K2811">
            <v>31152599</v>
          </cell>
        </row>
        <row r="2827">
          <cell r="H2827">
            <v>16214266</v>
          </cell>
        </row>
        <row r="2829">
          <cell r="K2829">
            <v>16214267</v>
          </cell>
        </row>
        <row r="2857">
          <cell r="H2857">
            <v>33209999</v>
          </cell>
        </row>
        <row r="2859">
          <cell r="K2859">
            <v>41340000</v>
          </cell>
        </row>
        <row r="2875">
          <cell r="H2875">
            <v>27086665</v>
          </cell>
        </row>
        <row r="3397">
          <cell r="K3397">
            <v>83859196</v>
          </cell>
        </row>
        <row r="3456">
          <cell r="K3456">
            <v>68190001</v>
          </cell>
        </row>
        <row r="3513">
          <cell r="K3513">
            <v>8000000</v>
          </cell>
        </row>
        <row r="3528">
          <cell r="K3528">
            <v>12831952</v>
          </cell>
        </row>
        <row r="3536">
          <cell r="H3536">
            <v>91305332</v>
          </cell>
        </row>
        <row r="3538">
          <cell r="K3538">
            <v>91305332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 2020"/>
    </sheetNames>
    <sheetDataSet>
      <sheetData sheetId="0">
        <row r="11">
          <cell r="AG11">
            <v>925589112</v>
          </cell>
        </row>
        <row r="350">
          <cell r="U350">
            <v>150000000</v>
          </cell>
        </row>
        <row r="379">
          <cell r="U379">
            <v>100000000</v>
          </cell>
        </row>
        <row r="616">
          <cell r="K616">
            <v>73000000</v>
          </cell>
        </row>
        <row r="815">
          <cell r="H815">
            <v>2000000</v>
          </cell>
        </row>
        <row r="1029">
          <cell r="H1029">
            <v>25075200</v>
          </cell>
        </row>
        <row r="1456">
          <cell r="Q1456">
            <v>317960000</v>
          </cell>
        </row>
        <row r="2600">
          <cell r="H2600">
            <v>35000000</v>
          </cell>
        </row>
        <row r="2602">
          <cell r="K2602">
            <v>35000000</v>
          </cell>
        </row>
        <row r="2613">
          <cell r="K2613">
            <v>15000000</v>
          </cell>
        </row>
        <row r="3096">
          <cell r="H3096">
            <v>1446667</v>
          </cell>
        </row>
        <row r="3378">
          <cell r="H3378">
            <v>10511609</v>
          </cell>
        </row>
        <row r="3380">
          <cell r="AG3380">
            <v>10804942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 2020"/>
    </sheetNames>
    <sheetDataSet>
      <sheetData sheetId="0">
        <row r="204">
          <cell r="S204">
            <v>14876761</v>
          </cell>
        </row>
        <row r="2550">
          <cell r="AG2550">
            <v>12600000</v>
          </cell>
        </row>
        <row r="2800">
          <cell r="AF2800">
            <v>300000000</v>
          </cell>
        </row>
        <row r="4364">
          <cell r="K4364">
            <v>50000000</v>
          </cell>
        </row>
        <row r="4524">
          <cell r="H4524">
            <v>1366350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 FEB 21 2020"/>
      <sheetName val="SI"/>
      <sheetName val="SI COSTOS 2020 2024"/>
      <sheetName val="JUSTIFICACION"/>
      <sheetName val="PROYECTO"/>
    </sheetNames>
    <sheetDataSet>
      <sheetData sheetId="0"/>
      <sheetData sheetId="1">
        <row r="5">
          <cell r="F5">
            <v>140000000</v>
          </cell>
        </row>
        <row r="7">
          <cell r="F7">
            <v>36000000</v>
          </cell>
        </row>
        <row r="13">
          <cell r="F13">
            <v>215800000</v>
          </cell>
        </row>
        <row r="14">
          <cell r="F14">
            <v>41500000</v>
          </cell>
        </row>
        <row r="15">
          <cell r="F15">
            <v>996000000</v>
          </cell>
        </row>
        <row r="16">
          <cell r="F16">
            <v>597600000</v>
          </cell>
        </row>
        <row r="17">
          <cell r="F17">
            <v>500000000</v>
          </cell>
        </row>
        <row r="18">
          <cell r="F18">
            <v>300000000</v>
          </cell>
        </row>
        <row r="19">
          <cell r="F19">
            <v>327960000</v>
          </cell>
        </row>
        <row r="25">
          <cell r="F25">
            <v>168000000</v>
          </cell>
        </row>
        <row r="26">
          <cell r="F26">
            <v>212500000</v>
          </cell>
        </row>
        <row r="27">
          <cell r="F27">
            <v>14000000</v>
          </cell>
        </row>
        <row r="28">
          <cell r="F28">
            <v>210000000</v>
          </cell>
        </row>
        <row r="29">
          <cell r="F29">
            <v>500000000</v>
          </cell>
        </row>
        <row r="30">
          <cell r="F30">
            <v>292500000</v>
          </cell>
        </row>
        <row r="31">
          <cell r="F31">
            <v>60000000</v>
          </cell>
        </row>
        <row r="32">
          <cell r="F32">
            <v>36000000</v>
          </cell>
        </row>
        <row r="33">
          <cell r="F33">
            <v>110500000</v>
          </cell>
        </row>
        <row r="34">
          <cell r="F34">
            <v>62000000</v>
          </cell>
        </row>
        <row r="36">
          <cell r="F36">
            <v>324000000</v>
          </cell>
        </row>
        <row r="37">
          <cell r="F37">
            <v>600000000</v>
          </cell>
        </row>
        <row r="43">
          <cell r="F43">
            <v>56000000</v>
          </cell>
        </row>
        <row r="44">
          <cell r="F44">
            <v>50000000</v>
          </cell>
        </row>
        <row r="50">
          <cell r="F50">
            <v>2200000000</v>
          </cell>
        </row>
        <row r="56">
          <cell r="F56">
            <v>198000000</v>
          </cell>
        </row>
        <row r="57">
          <cell r="F57">
            <v>100000000</v>
          </cell>
        </row>
        <row r="58">
          <cell r="F58">
            <v>197242000</v>
          </cell>
        </row>
      </sheetData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</sheetNames>
    <sheetDataSet>
      <sheetData sheetId="0">
        <row r="87">
          <cell r="S87">
            <v>146045110</v>
          </cell>
          <cell r="T87">
            <v>64101322</v>
          </cell>
        </row>
        <row r="96">
          <cell r="H96">
            <v>62934552</v>
          </cell>
        </row>
        <row r="118">
          <cell r="R118">
            <v>38238621</v>
          </cell>
          <cell r="S118">
            <v>19181368</v>
          </cell>
          <cell r="T118">
            <v>5898678</v>
          </cell>
        </row>
        <row r="279">
          <cell r="P279">
            <v>265157791</v>
          </cell>
          <cell r="Y279">
            <v>113002893</v>
          </cell>
        </row>
        <row r="286">
          <cell r="H286">
            <v>238839316</v>
          </cell>
        </row>
        <row r="324">
          <cell r="K324">
            <v>5000000</v>
          </cell>
        </row>
        <row r="385">
          <cell r="AA385">
            <v>170695625</v>
          </cell>
        </row>
        <row r="386">
          <cell r="H386">
            <v>39604390</v>
          </cell>
        </row>
        <row r="389">
          <cell r="H389">
            <v>39641280</v>
          </cell>
        </row>
        <row r="396">
          <cell r="H396">
            <v>40695625</v>
          </cell>
        </row>
        <row r="658">
          <cell r="AG658">
            <v>7000000</v>
          </cell>
        </row>
        <row r="1257">
          <cell r="H1257">
            <v>16899995</v>
          </cell>
        </row>
        <row r="1314">
          <cell r="H1314">
            <v>2457500</v>
          </cell>
        </row>
        <row r="1338">
          <cell r="AB1338">
            <v>38640000</v>
          </cell>
        </row>
        <row r="1434">
          <cell r="AB1434">
            <v>32450000</v>
          </cell>
        </row>
        <row r="1630">
          <cell r="AB1630">
            <v>65510000</v>
          </cell>
        </row>
        <row r="1690">
          <cell r="H1690">
            <v>15300150</v>
          </cell>
        </row>
        <row r="1716">
          <cell r="H1716">
            <v>48666663</v>
          </cell>
        </row>
        <row r="1735">
          <cell r="H1735">
            <v>20001757</v>
          </cell>
        </row>
        <row r="1737">
          <cell r="AB1737">
            <v>50000000</v>
          </cell>
        </row>
        <row r="1760">
          <cell r="H1760">
            <v>18741931</v>
          </cell>
        </row>
        <row r="1763">
          <cell r="H1763">
            <v>10000000</v>
          </cell>
        </row>
        <row r="1768">
          <cell r="H1768">
            <v>7266666</v>
          </cell>
        </row>
        <row r="2213">
          <cell r="H2213">
            <v>24000000</v>
          </cell>
        </row>
        <row r="2217">
          <cell r="H2217">
            <v>4060000</v>
          </cell>
        </row>
        <row r="2222">
          <cell r="H2222">
            <v>1999998</v>
          </cell>
        </row>
        <row r="2226">
          <cell r="H2226">
            <v>49958139</v>
          </cell>
        </row>
        <row r="2236">
          <cell r="H2236">
            <v>12114674</v>
          </cell>
        </row>
        <row r="2660">
          <cell r="K2660">
            <v>10000000</v>
          </cell>
        </row>
        <row r="2821">
          <cell r="H2821">
            <v>59699995</v>
          </cell>
        </row>
        <row r="2854">
          <cell r="K2854">
            <v>54732255</v>
          </cell>
        </row>
        <row r="2955">
          <cell r="K2955">
            <v>35400000</v>
          </cell>
        </row>
        <row r="3009">
          <cell r="H3009">
            <v>41069994</v>
          </cell>
        </row>
        <row r="3107">
          <cell r="K3107">
            <v>75885908</v>
          </cell>
        </row>
        <row r="3751">
          <cell r="H3751">
            <v>8000000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ERO 2020"/>
    </sheetNames>
    <sheetDataSet>
      <sheetData sheetId="0">
        <row r="47">
          <cell r="AG47">
            <v>25000000</v>
          </cell>
        </row>
        <row r="428">
          <cell r="K428">
            <v>40000000</v>
          </cell>
        </row>
        <row r="1196">
          <cell r="AB1196">
            <v>41846492</v>
          </cell>
        </row>
        <row r="1305">
          <cell r="AB1305">
            <v>5000000</v>
          </cell>
        </row>
        <row r="1417">
          <cell r="R1417">
            <v>45000000</v>
          </cell>
          <cell r="S1417">
            <v>60000000</v>
          </cell>
          <cell r="T1417">
            <v>60000000</v>
          </cell>
        </row>
        <row r="1468">
          <cell r="Q1468">
            <v>10000000</v>
          </cell>
        </row>
        <row r="2156">
          <cell r="K2156">
            <v>92208000</v>
          </cell>
        </row>
        <row r="2172">
          <cell r="K2172">
            <v>37792000</v>
          </cell>
        </row>
        <row r="2190">
          <cell r="K2190">
            <v>70000000</v>
          </cell>
        </row>
        <row r="2844">
          <cell r="K2844">
            <v>91850000</v>
          </cell>
        </row>
        <row r="3436">
          <cell r="K3436">
            <v>30000000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6"/>
  <sheetViews>
    <sheetView showGridLines="0" topLeftCell="B4" zoomScaleNormal="100" zoomScaleSheetLayoutView="100" zoomScalePageLayoutView="50" workbookViewId="0">
      <pane xSplit="5" ySplit="2" topLeftCell="Z9" activePane="bottomRight" state="frozen"/>
      <selection activeCell="C4" sqref="C4"/>
      <selection pane="topRight" activeCell="G4" sqref="G4"/>
      <selection pane="bottomLeft" activeCell="C6" sqref="C6"/>
      <selection pane="bottomRight" activeCell="AG10" sqref="AG10"/>
    </sheetView>
  </sheetViews>
  <sheetFormatPr baseColWidth="10" defaultRowHeight="15" x14ac:dyDescent="0.25"/>
  <cols>
    <col min="1" max="1" width="8.28515625" hidden="1" customWidth="1"/>
    <col min="2" max="2" width="22.42578125" hidden="1" customWidth="1"/>
    <col min="3" max="3" width="9" customWidth="1"/>
    <col min="4" max="4" width="46.5703125" customWidth="1"/>
    <col min="5" max="5" width="6.42578125" customWidth="1"/>
    <col min="6" max="6" width="12" hidden="1" customWidth="1"/>
    <col min="7" max="7" width="16.5703125" customWidth="1"/>
    <col min="8" max="9" width="16" hidden="1" customWidth="1"/>
    <col min="10" max="10" width="16" customWidth="1"/>
    <col min="11" max="11" width="12.5703125" customWidth="1"/>
    <col min="12" max="12" width="12" customWidth="1"/>
    <col min="13" max="13" width="12.7109375" customWidth="1"/>
    <col min="14" max="14" width="13.85546875" customWidth="1"/>
    <col min="15" max="15" width="11.5703125" customWidth="1"/>
    <col min="16" max="16" width="12.28515625" customWidth="1"/>
    <col min="17" max="17" width="13.140625" customWidth="1"/>
    <col min="18" max="18" width="11.140625" customWidth="1"/>
    <col min="19" max="19" width="10.8554687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2.5703125" customWidth="1"/>
    <col min="26" max="26" width="13.140625" customWidth="1"/>
    <col min="27" max="27" width="12.7109375" customWidth="1"/>
    <col min="28" max="28" width="12.42578125" customWidth="1"/>
    <col min="29" max="29" width="12.7109375" customWidth="1"/>
    <col min="30" max="30" width="11.42578125" customWidth="1"/>
    <col min="31" max="31" width="12.42578125" customWidth="1"/>
    <col min="32" max="32" width="12.7109375" customWidth="1"/>
    <col min="33" max="33" width="8.28515625" customWidth="1"/>
    <col min="34" max="34" width="18.57031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199" t="s">
        <v>0</v>
      </c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</row>
    <row r="2" spans="1:136" ht="18" hidden="1" customHeight="1" x14ac:dyDescent="0.25">
      <c r="B2" s="2"/>
      <c r="C2" s="200" t="s">
        <v>1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</row>
    <row r="3" spans="1:136" ht="15" hidden="1" customHeight="1" x14ac:dyDescent="0.3">
      <c r="B3" s="3"/>
      <c r="C3" s="200" t="s">
        <v>2</v>
      </c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4"/>
      <c r="AH3" s="201" t="s">
        <v>3</v>
      </c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2"/>
      <c r="BD3" s="202"/>
      <c r="BE3" s="203"/>
      <c r="BF3" s="5"/>
      <c r="BG3" s="6"/>
      <c r="BH3" s="204" t="s">
        <v>4</v>
      </c>
      <c r="BI3" s="205"/>
      <c r="BJ3" s="205"/>
      <c r="BK3" s="205"/>
      <c r="BL3" s="205"/>
      <c r="BM3" s="205"/>
      <c r="BN3" s="205"/>
      <c r="BO3" s="205"/>
      <c r="BP3" s="205"/>
      <c r="BQ3" s="205"/>
      <c r="BR3" s="205"/>
      <c r="BS3" s="205"/>
      <c r="BT3" s="205"/>
      <c r="BU3" s="205"/>
      <c r="BV3" s="205"/>
      <c r="BW3" s="205"/>
      <c r="BX3" s="205"/>
      <c r="BY3" s="205"/>
      <c r="BZ3" s="205"/>
      <c r="CA3" s="205"/>
      <c r="CB3" s="205"/>
      <c r="CC3" s="205"/>
      <c r="CD3" s="205"/>
      <c r="CE3" s="206"/>
      <c r="CF3" s="201"/>
      <c r="CG3" s="205"/>
      <c r="CH3" s="205"/>
      <c r="CI3" s="205"/>
      <c r="CJ3" s="205"/>
      <c r="CK3" s="205"/>
      <c r="CL3" s="205"/>
      <c r="CM3" s="205"/>
      <c r="CN3" s="205"/>
      <c r="CO3" s="205"/>
      <c r="CP3" s="205"/>
      <c r="CQ3" s="205"/>
      <c r="CR3" s="205"/>
      <c r="CS3" s="205"/>
      <c r="CT3" s="205"/>
      <c r="CU3" s="205"/>
      <c r="CV3" s="205"/>
      <c r="CW3" s="205"/>
      <c r="CX3" s="205"/>
      <c r="CY3" s="205"/>
      <c r="CZ3" s="205"/>
      <c r="DA3" s="205"/>
      <c r="DB3" s="205"/>
      <c r="DC3" s="206"/>
      <c r="DD3" s="5"/>
      <c r="DE3" s="204" t="s">
        <v>4</v>
      </c>
      <c r="DF3" s="205"/>
      <c r="DG3" s="205"/>
      <c r="DH3" s="205"/>
      <c r="DI3" s="205"/>
      <c r="DJ3" s="205"/>
      <c r="DK3" s="205"/>
      <c r="DL3" s="205"/>
      <c r="DM3" s="205"/>
      <c r="DN3" s="205"/>
      <c r="DO3" s="205"/>
      <c r="DP3" s="205"/>
      <c r="DQ3" s="205"/>
      <c r="DR3" s="205"/>
      <c r="DS3" s="205"/>
      <c r="DT3" s="205"/>
      <c r="DU3" s="205"/>
      <c r="DV3" s="205"/>
      <c r="DW3" s="205"/>
      <c r="DX3" s="205"/>
      <c r="DY3" s="205"/>
      <c r="DZ3" s="205"/>
      <c r="EA3" s="205"/>
      <c r="EB3" s="205"/>
    </row>
    <row r="4" spans="1:136" ht="15" customHeight="1" x14ac:dyDescent="0.25">
      <c r="A4" s="211" t="s">
        <v>5</v>
      </c>
      <c r="B4" s="212" t="s">
        <v>6</v>
      </c>
      <c r="C4" s="212" t="s">
        <v>7</v>
      </c>
      <c r="D4" s="212" t="s">
        <v>8</v>
      </c>
      <c r="E4" s="213" t="s">
        <v>9</v>
      </c>
      <c r="F4" s="212" t="s">
        <v>10</v>
      </c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7"/>
      <c r="AH4" s="215" t="s">
        <v>11</v>
      </c>
      <c r="AI4" s="216"/>
      <c r="AJ4" s="216"/>
      <c r="AK4" s="216"/>
      <c r="AL4" s="216"/>
      <c r="AM4" s="216"/>
      <c r="AN4" s="216"/>
      <c r="AO4" s="216"/>
      <c r="AP4" s="216"/>
      <c r="AQ4" s="216"/>
      <c r="AR4" s="216"/>
      <c r="AS4" s="216"/>
      <c r="AT4" s="216"/>
      <c r="AU4" s="216"/>
      <c r="AV4" s="216"/>
      <c r="AW4" s="216"/>
      <c r="AX4" s="216"/>
      <c r="AY4" s="216"/>
      <c r="AZ4" s="216"/>
      <c r="BA4" s="216"/>
      <c r="BB4" s="216"/>
      <c r="BC4" s="216"/>
      <c r="BD4" s="216"/>
      <c r="BE4" s="217"/>
      <c r="BF4" s="8"/>
      <c r="BG4" s="9"/>
      <c r="BH4" s="218" t="s">
        <v>12</v>
      </c>
      <c r="BI4" s="219"/>
      <c r="BJ4" s="219"/>
      <c r="BK4" s="219"/>
      <c r="BL4" s="219"/>
      <c r="BM4" s="219"/>
      <c r="BN4" s="219"/>
      <c r="BO4" s="219"/>
      <c r="BP4" s="219"/>
      <c r="BQ4" s="219"/>
      <c r="BR4" s="219"/>
      <c r="BS4" s="219"/>
      <c r="BT4" s="218" t="s">
        <v>12</v>
      </c>
      <c r="BU4" s="219"/>
      <c r="BV4" s="219"/>
      <c r="BW4" s="219"/>
      <c r="BX4" s="219"/>
      <c r="BY4" s="219"/>
      <c r="BZ4" s="219"/>
      <c r="CA4" s="219"/>
      <c r="CB4" s="219"/>
      <c r="CC4" s="219"/>
      <c r="CD4" s="220"/>
      <c r="CE4" s="10"/>
      <c r="CF4" s="7"/>
      <c r="CG4" s="215" t="s">
        <v>13</v>
      </c>
      <c r="CH4" s="216"/>
      <c r="CI4" s="216"/>
      <c r="CJ4" s="216"/>
      <c r="CK4" s="216"/>
      <c r="CL4" s="216"/>
      <c r="CM4" s="216"/>
      <c r="CN4" s="216"/>
      <c r="CO4" s="216"/>
      <c r="CP4" s="216"/>
      <c r="CQ4" s="216"/>
      <c r="CR4" s="216"/>
      <c r="CS4" s="216"/>
      <c r="CT4" s="11"/>
      <c r="CU4" s="11"/>
      <c r="CV4" s="216"/>
      <c r="CW4" s="216"/>
      <c r="CX4" s="216"/>
      <c r="CY4" s="216"/>
      <c r="CZ4" s="216"/>
      <c r="DA4" s="216"/>
      <c r="DB4" s="216"/>
      <c r="DC4" s="217"/>
      <c r="DD4" s="12"/>
      <c r="DE4" s="218" t="s">
        <v>12</v>
      </c>
      <c r="DF4" s="219"/>
      <c r="DG4" s="219"/>
      <c r="DH4" s="219"/>
      <c r="DI4" s="219"/>
      <c r="DJ4" s="219"/>
      <c r="DK4" s="219"/>
      <c r="DL4" s="219"/>
      <c r="DM4" s="219"/>
      <c r="DN4" s="219"/>
      <c r="DO4" s="219"/>
      <c r="DP4" s="219"/>
      <c r="DQ4" s="219"/>
      <c r="DR4" s="219" t="s">
        <v>12</v>
      </c>
      <c r="DS4" s="219"/>
      <c r="DT4" s="219"/>
      <c r="DU4" s="219"/>
      <c r="DV4" s="219"/>
      <c r="DW4" s="219"/>
      <c r="DX4" s="219"/>
      <c r="DY4" s="219"/>
      <c r="DZ4" s="219"/>
      <c r="EA4" s="219"/>
      <c r="EB4" s="220"/>
    </row>
    <row r="5" spans="1:136" s="19" customFormat="1" ht="36" customHeight="1" x14ac:dyDescent="0.2">
      <c r="A5" s="211"/>
      <c r="B5" s="212"/>
      <c r="C5" s="212"/>
      <c r="D5" s="212"/>
      <c r="E5" s="213"/>
      <c r="F5" s="212"/>
      <c r="G5" s="13" t="s">
        <v>14</v>
      </c>
      <c r="H5" s="14" t="s">
        <v>15</v>
      </c>
      <c r="I5" s="14" t="s">
        <v>16</v>
      </c>
      <c r="J5" s="15" t="s">
        <v>17</v>
      </c>
      <c r="K5" s="15" t="s">
        <v>18</v>
      </c>
      <c r="L5" s="15" t="s">
        <v>19</v>
      </c>
      <c r="M5" s="15" t="s">
        <v>20</v>
      </c>
      <c r="N5" s="15" t="s">
        <v>21</v>
      </c>
      <c r="O5" s="15" t="s">
        <v>22</v>
      </c>
      <c r="P5" s="15" t="s">
        <v>23</v>
      </c>
      <c r="Q5" s="15" t="s">
        <v>24</v>
      </c>
      <c r="R5" s="15" t="s">
        <v>25</v>
      </c>
      <c r="S5" s="15" t="s">
        <v>26</v>
      </c>
      <c r="T5" s="15" t="s">
        <v>27</v>
      </c>
      <c r="U5" s="15" t="s">
        <v>28</v>
      </c>
      <c r="V5" s="15" t="s">
        <v>29</v>
      </c>
      <c r="W5" s="15" t="s">
        <v>30</v>
      </c>
      <c r="X5" s="15" t="s">
        <v>31</v>
      </c>
      <c r="Y5" s="15" t="s">
        <v>32</v>
      </c>
      <c r="Z5" s="15" t="s">
        <v>33</v>
      </c>
      <c r="AA5" s="15" t="s">
        <v>34</v>
      </c>
      <c r="AB5" s="15" t="s">
        <v>35</v>
      </c>
      <c r="AC5" s="15" t="s">
        <v>36</v>
      </c>
      <c r="AD5" s="15" t="s">
        <v>37</v>
      </c>
      <c r="AE5" s="15" t="s">
        <v>38</v>
      </c>
      <c r="AF5" s="15" t="s">
        <v>39</v>
      </c>
      <c r="AG5" s="16" t="s">
        <v>40</v>
      </c>
      <c r="AH5" s="17" t="s">
        <v>41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8" t="s">
        <v>40</v>
      </c>
      <c r="BG5" s="12" t="s">
        <v>41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6" t="s">
        <v>40</v>
      </c>
      <c r="CF5" s="17" t="s">
        <v>41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2" t="s">
        <v>40</v>
      </c>
      <c r="DE5" s="12" t="s">
        <v>41</v>
      </c>
      <c r="DF5" s="12" t="s">
        <v>17</v>
      </c>
      <c r="DG5" s="12" t="s">
        <v>18</v>
      </c>
      <c r="DH5" s="12" t="s">
        <v>42</v>
      </c>
      <c r="DI5" s="12" t="s">
        <v>20</v>
      </c>
      <c r="DJ5" s="12" t="s">
        <v>21</v>
      </c>
      <c r="DK5" s="12" t="s">
        <v>22</v>
      </c>
      <c r="DL5" s="12" t="s">
        <v>23</v>
      </c>
      <c r="DM5" s="12" t="s">
        <v>24</v>
      </c>
      <c r="DN5" s="12" t="s">
        <v>25</v>
      </c>
      <c r="DO5" s="12" t="s">
        <v>26</v>
      </c>
      <c r="DP5" s="12" t="s">
        <v>27</v>
      </c>
      <c r="DQ5" s="12" t="s">
        <v>28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9" t="s">
        <v>43</v>
      </c>
      <c r="EE5" s="19" t="s">
        <v>44</v>
      </c>
      <c r="EF5" s="19" t="s">
        <v>45</v>
      </c>
    </row>
    <row r="6" spans="1:136" ht="46.9" customHeight="1" x14ac:dyDescent="0.25">
      <c r="A6" s="207" t="s">
        <v>46</v>
      </c>
      <c r="B6" s="209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71500000</v>
      </c>
      <c r="H6" s="25">
        <f>+[1]SF!$F5</f>
        <v>100000000</v>
      </c>
      <c r="I6" s="25">
        <f>+H6-G6</f>
        <v>28500000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6">
        <f>35000000+5000000+5000000-18000000-5000000-10500000</f>
        <v>11500000</v>
      </c>
      <c r="AG6" s="27">
        <f t="shared" ref="AG6:AG69" si="1">AH6/G6</f>
        <v>0.74341076923076921</v>
      </c>
      <c r="AH6" s="24">
        <f t="shared" ref="AH6:AH14" si="2">SUM(AI6:BE6)</f>
        <v>53153870</v>
      </c>
      <c r="AI6" s="28"/>
      <c r="AJ6" s="24">
        <f>+[2]OCTUBRE!$K$2824</f>
        <v>18590000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>
        <f>+[3]SEPTIEMBRE!$AA$2628</f>
        <v>23063870</v>
      </c>
      <c r="BA6" s="24"/>
      <c r="BB6" s="24"/>
      <c r="BC6" s="24"/>
      <c r="BD6" s="24"/>
      <c r="BE6" s="24">
        <f>+[2]OCTUBRE!$AG$2824</f>
        <v>11500000</v>
      </c>
      <c r="BF6" s="27">
        <f>1-AG6</f>
        <v>0.25658923076923079</v>
      </c>
      <c r="BG6" s="24">
        <f t="shared" ref="BG6:BG23" si="3">SUM(BH6:CD6)</f>
        <v>18346130</v>
      </c>
      <c r="BH6" s="24">
        <f t="shared" ref="BH6:BW21" si="4">+J6-AI6</f>
        <v>0</v>
      </c>
      <c r="BI6" s="24">
        <f t="shared" si="4"/>
        <v>11410000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0</v>
      </c>
      <c r="CE6" s="27">
        <f t="shared" ref="CE6:CE49" si="6">CF6/G6</f>
        <v>0.70867881118881115</v>
      </c>
      <c r="CF6" s="24">
        <f t="shared" ref="CF6:CF23" si="7">SUM(CG6:DC6)</f>
        <v>50670535</v>
      </c>
      <c r="CG6" s="24"/>
      <c r="CH6" s="24">
        <f>+[2]OCTUBRE!$H$2825+[2]OCTUBRE!$H$2857</f>
        <v>16106665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>
        <f>+[4]JULIO!$H$2193+[4]JULIO!$H$2199</f>
        <v>23063870</v>
      </c>
      <c r="CY6" s="24"/>
      <c r="CZ6" s="24"/>
      <c r="DA6" s="24"/>
      <c r="DB6" s="24"/>
      <c r="DC6" s="24">
        <f>+[4]JULIO!$H$2167+[4]JULIO!$H$2170+[4]JULIO!$H$2175</f>
        <v>11500000</v>
      </c>
      <c r="DD6" s="27">
        <f t="shared" ref="DD6:DD69" si="8">1-CE6</f>
        <v>0.29132118881118885</v>
      </c>
      <c r="DE6" s="24">
        <f>SUM(DF6:EB6)</f>
        <v>20829465</v>
      </c>
      <c r="DF6" s="24">
        <f t="shared" ref="DF6:DU21" si="9">+J6-CG6</f>
        <v>0</v>
      </c>
      <c r="DG6" s="24">
        <f t="shared" si="9"/>
        <v>13893335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0</v>
      </c>
      <c r="ED6" s="31">
        <f t="shared" ref="ED6:ED69" si="11">+G6</f>
        <v>71500000</v>
      </c>
      <c r="EE6" s="31">
        <f>+AH6+BG6</f>
        <v>71500000</v>
      </c>
      <c r="EF6" s="31">
        <f>+CF6+DE6</f>
        <v>71500000</v>
      </c>
    </row>
    <row r="7" spans="1:136" ht="33.6" customHeight="1" x14ac:dyDescent="0.25">
      <c r="A7" s="208"/>
      <c r="B7" s="210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40000000</v>
      </c>
      <c r="H7" s="25">
        <f>+[1]SF!$F6</f>
        <v>40000000</v>
      </c>
      <c r="I7" s="25">
        <f t="shared" ref="I7:I23" si="12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6">
        <v>0</v>
      </c>
      <c r="AG7" s="27">
        <f t="shared" si="1"/>
        <v>0.89605857499999997</v>
      </c>
      <c r="AH7" s="24">
        <f t="shared" si="2"/>
        <v>35842343</v>
      </c>
      <c r="AI7" s="24"/>
      <c r="AJ7" s="24">
        <f>+[2]OCTUBRE!$K$2867</f>
        <v>15842343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>
        <f>+[4]JULIO!$AA$2206</f>
        <v>20000000</v>
      </c>
      <c r="BA7" s="24"/>
      <c r="BB7" s="24"/>
      <c r="BC7" s="24"/>
      <c r="BD7" s="24"/>
      <c r="BE7" s="24"/>
      <c r="BF7" s="27">
        <f t="shared" ref="BF7:BF70" si="13">1-AG7</f>
        <v>0.10394142500000003</v>
      </c>
      <c r="BG7" s="24">
        <f t="shared" si="3"/>
        <v>4157657</v>
      </c>
      <c r="BH7" s="24">
        <f t="shared" si="4"/>
        <v>0</v>
      </c>
      <c r="BI7" s="24">
        <f t="shared" si="4"/>
        <v>4157657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0.77058332500000004</v>
      </c>
      <c r="CF7" s="24">
        <f t="shared" si="7"/>
        <v>30823333</v>
      </c>
      <c r="CG7" s="24"/>
      <c r="CH7" s="24">
        <f>+[4]JULIO!$H$2207+[4]JULIO!$H$2210</f>
        <v>10823333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>
        <f>+[4]JULIO!$H$2204-CH7</f>
        <v>20000000</v>
      </c>
      <c r="CY7" s="24"/>
      <c r="CZ7" s="24"/>
      <c r="DA7" s="24"/>
      <c r="DB7" s="24"/>
      <c r="DC7" s="24"/>
      <c r="DD7" s="27">
        <f t="shared" si="8"/>
        <v>0.22941667499999996</v>
      </c>
      <c r="DE7" s="24">
        <f t="shared" ref="DE7:DE23" si="14">SUM(DF7:EB7)</f>
        <v>9176667</v>
      </c>
      <c r="DF7" s="24">
        <f t="shared" si="9"/>
        <v>0</v>
      </c>
      <c r="DG7" s="24">
        <f t="shared" si="9"/>
        <v>9176667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  <c r="ED7" s="31">
        <f t="shared" si="11"/>
        <v>40000000</v>
      </c>
      <c r="EE7" s="31">
        <f t="shared" ref="EE7:EE70" si="15">+AH7+BG7</f>
        <v>40000000</v>
      </c>
      <c r="EF7" s="31">
        <f t="shared" ref="EF7:EF70" si="16">+CF7+DE7</f>
        <v>40000000</v>
      </c>
    </row>
    <row r="8" spans="1:136" ht="50.45" customHeight="1" x14ac:dyDescent="0.25">
      <c r="A8" s="32"/>
      <c r="B8" s="222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5083517</v>
      </c>
      <c r="H8" s="25">
        <f>+[1]SF!$F12</f>
        <v>15000000</v>
      </c>
      <c r="I8" s="25">
        <f t="shared" si="12"/>
        <v>9916483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6">
        <f>23083517-15000000+2000000-2000000-3000000</f>
        <v>5083517</v>
      </c>
      <c r="AG8" s="27">
        <f t="shared" si="1"/>
        <v>0</v>
      </c>
      <c r="AH8" s="24">
        <f t="shared" si="2"/>
        <v>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7">
        <f t="shared" si="13"/>
        <v>1</v>
      </c>
      <c r="BG8" s="24">
        <f t="shared" si="3"/>
        <v>5083517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5083517</v>
      </c>
      <c r="CE8" s="27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1</v>
      </c>
      <c r="DE8" s="24">
        <f t="shared" si="14"/>
        <v>5083517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5083517</v>
      </c>
      <c r="ED8" s="31">
        <f t="shared" si="11"/>
        <v>5083517</v>
      </c>
      <c r="EE8" s="31">
        <f t="shared" si="15"/>
        <v>5083517</v>
      </c>
      <c r="EF8" s="31">
        <f t="shared" si="16"/>
        <v>5083517</v>
      </c>
    </row>
    <row r="9" spans="1:136" ht="40.15" customHeight="1" x14ac:dyDescent="0.25">
      <c r="A9" s="32"/>
      <c r="B9" s="222"/>
      <c r="C9" s="20" t="s">
        <v>58</v>
      </c>
      <c r="D9" s="33" t="s">
        <v>59</v>
      </c>
      <c r="E9" s="22">
        <v>510</v>
      </c>
      <c r="F9" s="23" t="s">
        <v>60</v>
      </c>
      <c r="G9" s="24">
        <f t="shared" si="0"/>
        <v>54000000</v>
      </c>
      <c r="H9" s="25">
        <f>+[1]SF!$F13</f>
        <v>20000000</v>
      </c>
      <c r="I9" s="25">
        <f t="shared" si="12"/>
        <v>-34000000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6">
        <f>7000000+15000000-2000000+10000000+25000000-1000000</f>
        <v>54000000</v>
      </c>
      <c r="AG9" s="27">
        <f t="shared" si="1"/>
        <v>0.7592592592592593</v>
      </c>
      <c r="AH9" s="24">
        <f t="shared" si="2"/>
        <v>41000000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+[2]OCTUBRE!$AG$2894</f>
        <v>41000000</v>
      </c>
      <c r="BF9" s="27">
        <f t="shared" si="13"/>
        <v>0.2407407407407407</v>
      </c>
      <c r="BG9" s="24">
        <f t="shared" si="3"/>
        <v>13000000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13000000</v>
      </c>
      <c r="CE9" s="27">
        <f t="shared" si="6"/>
        <v>0.29604937037037038</v>
      </c>
      <c r="CF9" s="24">
        <f t="shared" si="7"/>
        <v>15986666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+[3]SEPTIEMBRE!$H$2696</f>
        <v>15986666</v>
      </c>
      <c r="DD9" s="27">
        <f t="shared" si="8"/>
        <v>0.70395062962962962</v>
      </c>
      <c r="DE9" s="24">
        <f t="shared" si="14"/>
        <v>38013334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38013334</v>
      </c>
      <c r="ED9" s="31">
        <f t="shared" si="11"/>
        <v>54000000</v>
      </c>
      <c r="EE9" s="31">
        <f t="shared" si="15"/>
        <v>54000000</v>
      </c>
      <c r="EF9" s="31">
        <f t="shared" si="16"/>
        <v>54000000</v>
      </c>
    </row>
    <row r="10" spans="1:136" ht="45" customHeight="1" x14ac:dyDescent="0.25">
      <c r="A10" s="32"/>
      <c r="B10" s="222"/>
      <c r="C10" s="20" t="s">
        <v>61</v>
      </c>
      <c r="D10" s="21" t="s">
        <v>62</v>
      </c>
      <c r="E10" s="22">
        <v>510</v>
      </c>
      <c r="F10" s="23" t="s">
        <v>53</v>
      </c>
      <c r="G10" s="24">
        <f t="shared" si="0"/>
        <v>449000000</v>
      </c>
      <c r="H10" s="25">
        <f>+[1]SF!$F14</f>
        <v>346400000</v>
      </c>
      <c r="I10" s="25">
        <f t="shared" si="12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6">
        <v>0</v>
      </c>
      <c r="AG10" s="27">
        <f t="shared" si="1"/>
        <v>1</v>
      </c>
      <c r="AH10" s="24">
        <f t="shared" si="2"/>
        <v>449000000</v>
      </c>
      <c r="AI10" s="24"/>
      <c r="AJ10" s="24">
        <f>+'[5]FEBRERO 2020'!$K$2602</f>
        <v>35000000</v>
      </c>
      <c r="AK10" s="24"/>
      <c r="AL10" s="24">
        <f>+[3]SEPTIEMBRE!$L$2713</f>
        <v>114000000</v>
      </c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+'[6]MARZO 2020'!$AF$2800</f>
        <v>300000000</v>
      </c>
      <c r="BE10" s="24"/>
      <c r="BF10" s="27">
        <f t="shared" si="13"/>
        <v>0</v>
      </c>
      <c r="BG10" s="24">
        <f t="shared" si="3"/>
        <v>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7">
        <f t="shared" si="6"/>
        <v>7.7951002227171495E-2</v>
      </c>
      <c r="CF10" s="24">
        <f t="shared" si="7"/>
        <v>35000000</v>
      </c>
      <c r="CG10" s="24"/>
      <c r="CH10" s="24">
        <f>+'[5]FEBRERO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0.92204899777282856</v>
      </c>
      <c r="DE10" s="24">
        <f t="shared" si="14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  <c r="ED10" s="31">
        <f t="shared" si="11"/>
        <v>449000000</v>
      </c>
      <c r="EE10" s="31">
        <f t="shared" si="15"/>
        <v>449000000</v>
      </c>
      <c r="EF10" s="31">
        <f t="shared" si="16"/>
        <v>449000000</v>
      </c>
    </row>
    <row r="11" spans="1:136" ht="33" customHeight="1" x14ac:dyDescent="0.25">
      <c r="A11" s="32"/>
      <c r="B11" s="222"/>
      <c r="C11" s="20" t="s">
        <v>63</v>
      </c>
      <c r="D11" s="21" t="s">
        <v>64</v>
      </c>
      <c r="E11" s="22">
        <v>510</v>
      </c>
      <c r="F11" s="23" t="s">
        <v>53</v>
      </c>
      <c r="G11" s="24">
        <f t="shared" si="0"/>
        <v>215133503</v>
      </c>
      <c r="H11" s="25">
        <f>+[1]SF!$F15</f>
        <v>225000000</v>
      </c>
      <c r="I11" s="25">
        <f t="shared" si="12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6">
        <v>0</v>
      </c>
      <c r="AG11" s="27">
        <f t="shared" si="1"/>
        <v>0.77858630880007562</v>
      </c>
      <c r="AH11" s="24">
        <f t="shared" si="2"/>
        <v>167500000</v>
      </c>
      <c r="AI11" s="24"/>
      <c r="AJ11" s="24">
        <f>+'[5]FEBRERO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+[2]OCTUBRE!$AF$2930</f>
        <v>152500000</v>
      </c>
      <c r="BE11" s="24"/>
      <c r="BF11" s="27">
        <f t="shared" si="13"/>
        <v>0.22141369119992438</v>
      </c>
      <c r="BG11" s="24">
        <f t="shared" si="3"/>
        <v>47633503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47633503</v>
      </c>
      <c r="CD11" s="24">
        <f t="shared" si="5"/>
        <v>0</v>
      </c>
      <c r="CE11" s="27">
        <f t="shared" si="6"/>
        <v>0.33175833612489453</v>
      </c>
      <c r="CF11" s="24">
        <f t="shared" si="7"/>
        <v>71372333</v>
      </c>
      <c r="CG11" s="24"/>
      <c r="CH11" s="24">
        <f>+[2]OCTUBRE!$H$2931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+[2]OCTUBRE!$H$2937+[2]OCTUBRE!$H$2940</f>
        <v>56673333</v>
      </c>
      <c r="DC11" s="24"/>
      <c r="DD11" s="27">
        <f t="shared" si="8"/>
        <v>0.66824166387510542</v>
      </c>
      <c r="DE11" s="24">
        <f t="shared" si="14"/>
        <v>143761170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143460170</v>
      </c>
      <c r="EB11" s="24">
        <f t="shared" si="10"/>
        <v>0</v>
      </c>
      <c r="ED11" s="31">
        <f t="shared" si="11"/>
        <v>215133503</v>
      </c>
      <c r="EE11" s="31">
        <f t="shared" si="15"/>
        <v>215133503</v>
      </c>
      <c r="EF11" s="31">
        <f t="shared" si="16"/>
        <v>215133503</v>
      </c>
    </row>
    <row r="12" spans="1:136" ht="20.45" customHeight="1" x14ac:dyDescent="0.25">
      <c r="A12" s="32"/>
      <c r="B12" s="223" t="s">
        <v>65</v>
      </c>
      <c r="C12" s="34" t="s">
        <v>66</v>
      </c>
      <c r="D12" s="21" t="s">
        <v>67</v>
      </c>
      <c r="E12" s="22">
        <v>310</v>
      </c>
      <c r="F12" s="23" t="s">
        <v>53</v>
      </c>
      <c r="G12" s="24">
        <f t="shared" si="0"/>
        <v>150000000</v>
      </c>
      <c r="H12" s="25">
        <f>+[1]SF!$F22</f>
        <v>15000000</v>
      </c>
      <c r="I12" s="25">
        <f t="shared" si="12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>
        <v>0</v>
      </c>
      <c r="AG12" s="27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>
        <f t="shared" si="13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>
        <f t="shared" si="8"/>
        <v>1</v>
      </c>
      <c r="DE12" s="24">
        <f t="shared" si="14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  <c r="ED12" s="31">
        <f t="shared" si="11"/>
        <v>150000000</v>
      </c>
      <c r="EE12" s="31">
        <f t="shared" si="15"/>
        <v>150000000</v>
      </c>
      <c r="EF12" s="31">
        <f t="shared" si="16"/>
        <v>150000000</v>
      </c>
    </row>
    <row r="13" spans="1:136" ht="25.15" customHeight="1" x14ac:dyDescent="0.25">
      <c r="A13" s="32"/>
      <c r="B13" s="224"/>
      <c r="C13" s="34" t="s">
        <v>68</v>
      </c>
      <c r="D13" s="35" t="s">
        <v>69</v>
      </c>
      <c r="E13" s="22">
        <v>310</v>
      </c>
      <c r="F13" s="23" t="s">
        <v>70</v>
      </c>
      <c r="G13" s="24">
        <f t="shared" si="0"/>
        <v>182490457</v>
      </c>
      <c r="H13" s="25">
        <f>+[1]SF!$F23</f>
        <v>1166707400.67272</v>
      </c>
      <c r="I13" s="25">
        <f t="shared" si="12"/>
        <v>984216943.67271996</v>
      </c>
      <c r="J13" s="24"/>
      <c r="K13" s="24"/>
      <c r="L13" s="24"/>
      <c r="M13" s="24">
        <v>17990457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6">
        <f>20000000-3000000-5000000+2500000</f>
        <v>14500000</v>
      </c>
      <c r="AG13" s="27">
        <f t="shared" si="1"/>
        <v>0.90141699847899448</v>
      </c>
      <c r="AH13" s="24">
        <f t="shared" si="2"/>
        <v>164500000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+'[5]FEBRERO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+[2]OCTUBRE!$AG$496</f>
        <v>14500000</v>
      </c>
      <c r="BF13" s="27">
        <f t="shared" si="13"/>
        <v>9.858300152100552E-2</v>
      </c>
      <c r="BG13" s="24">
        <f t="shared" si="3"/>
        <v>17990457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17990457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7">
        <f t="shared" si="6"/>
        <v>0.53951788284469038</v>
      </c>
      <c r="CF13" s="24">
        <f t="shared" si="7"/>
        <v>98456865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+[2]OCTUBRE!$H$506</f>
        <v>89394722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f>+[2]OCTUBRE!$H$497</f>
        <v>9062143</v>
      </c>
      <c r="DD13" s="27">
        <f t="shared" si="8"/>
        <v>0.46048211715530962</v>
      </c>
      <c r="DE13" s="24">
        <f t="shared" si="14"/>
        <v>84033592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17990457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60605278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5437857</v>
      </c>
      <c r="ED13" s="31">
        <f t="shared" si="11"/>
        <v>182490457</v>
      </c>
      <c r="EE13" s="31">
        <f t="shared" si="15"/>
        <v>182490457</v>
      </c>
      <c r="EF13" s="31">
        <f t="shared" si="16"/>
        <v>182490457</v>
      </c>
    </row>
    <row r="14" spans="1:136" ht="21" customHeight="1" x14ac:dyDescent="0.25">
      <c r="A14" s="32"/>
      <c r="B14" s="224"/>
      <c r="C14" s="20" t="s">
        <v>71</v>
      </c>
      <c r="D14" s="35" t="s">
        <v>72</v>
      </c>
      <c r="E14" s="22">
        <v>310</v>
      </c>
      <c r="F14" s="23" t="s">
        <v>53</v>
      </c>
      <c r="G14" s="24">
        <f t="shared" si="0"/>
        <v>0</v>
      </c>
      <c r="H14" s="25">
        <f>+[1]SF!$F24</f>
        <v>90000000</v>
      </c>
      <c r="I14" s="25">
        <f t="shared" si="12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6">
        <v>0</v>
      </c>
      <c r="AG14" s="27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7" t="e">
        <f t="shared" si="13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7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 t="e">
        <f t="shared" si="8"/>
        <v>#DIV/0!</v>
      </c>
      <c r="DE14" s="24">
        <f t="shared" si="14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  <c r="ED14" s="31">
        <f t="shared" si="11"/>
        <v>0</v>
      </c>
      <c r="EE14" s="31">
        <f t="shared" si="15"/>
        <v>0</v>
      </c>
      <c r="EF14" s="31">
        <f t="shared" si="16"/>
        <v>0</v>
      </c>
    </row>
    <row r="15" spans="1:136" ht="48" customHeight="1" x14ac:dyDescent="0.25">
      <c r="A15" s="32"/>
      <c r="B15" s="224"/>
      <c r="C15" s="20" t="s">
        <v>73</v>
      </c>
      <c r="D15" s="21" t="s">
        <v>74</v>
      </c>
      <c r="E15" s="22">
        <v>310</v>
      </c>
      <c r="F15" s="23" t="s">
        <v>57</v>
      </c>
      <c r="G15" s="24">
        <f t="shared" si="0"/>
        <v>291000000</v>
      </c>
      <c r="H15" s="25">
        <f>+[1]SF!$F25</f>
        <v>628000000</v>
      </c>
      <c r="I15" s="25">
        <f>+H15-G15</f>
        <v>337000000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6">
        <f>40000000+10000000-4000000+20000000+5000000</f>
        <v>71000000</v>
      </c>
      <c r="AG15" s="27">
        <f t="shared" si="1"/>
        <v>0.91567010309278352</v>
      </c>
      <c r="AH15" s="24">
        <f t="shared" ref="AH15:AH23" si="17">SUM(AI15:BE15)</f>
        <v>266460000</v>
      </c>
      <c r="AI15" s="24"/>
      <c r="AJ15" s="24">
        <f>+[2]OCTUBRE!$K$543</f>
        <v>120000000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+'[5]FEBRERO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+[2]OCTUBRE!$AG$543</f>
        <v>46460000</v>
      </c>
      <c r="BF15" s="27">
        <f t="shared" si="13"/>
        <v>8.4329896907216484E-2</v>
      </c>
      <c r="BG15" s="24">
        <f t="shared" si="3"/>
        <v>24540000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24540000</v>
      </c>
      <c r="CE15" s="27">
        <f t="shared" si="6"/>
        <v>0.64118175257731957</v>
      </c>
      <c r="CF15" s="24">
        <f t="shared" si="7"/>
        <v>186583890</v>
      </c>
      <c r="CG15" s="24"/>
      <c r="CH15" s="24">
        <f>+[2]OCTUBRE!$H$544+[2]OCTUBRE!$H$556+[2]OCTUBRE!$H$560+[2]OCTUBRE!$H$568+[2]OCTUBRE!$H$580+[2]OCTUBRE!$H$582+[2]OCTUBRE!$H$705+[2]OCTUBRE!$H$708</f>
        <v>86332585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+[2]OCTUBRE!$H$594</f>
        <v>83460515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+[2]OCTUBRE!$H$711+[2]OCTUBRE!$H$692</f>
        <v>16790790</v>
      </c>
      <c r="DD15" s="27">
        <f t="shared" si="8"/>
        <v>0.35881824742268043</v>
      </c>
      <c r="DE15" s="24">
        <f t="shared" si="14"/>
        <v>104416110</v>
      </c>
      <c r="DF15" s="24">
        <f t="shared" si="9"/>
        <v>0</v>
      </c>
      <c r="DG15" s="24">
        <f t="shared" si="9"/>
        <v>33667415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16539485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54209210</v>
      </c>
      <c r="ED15" s="31">
        <f t="shared" si="11"/>
        <v>291000000</v>
      </c>
      <c r="EE15" s="31">
        <f t="shared" si="15"/>
        <v>291000000</v>
      </c>
      <c r="EF15" s="31">
        <f t="shared" si="16"/>
        <v>291000000</v>
      </c>
    </row>
    <row r="16" spans="1:136" ht="26.25" customHeight="1" x14ac:dyDescent="0.25">
      <c r="A16" s="32"/>
      <c r="B16" s="225"/>
      <c r="C16" s="20" t="s">
        <v>75</v>
      </c>
      <c r="D16" s="21" t="s">
        <v>76</v>
      </c>
      <c r="E16" s="22">
        <v>310</v>
      </c>
      <c r="F16" s="23" t="s">
        <v>53</v>
      </c>
      <c r="G16" s="24">
        <f t="shared" si="0"/>
        <v>20000000</v>
      </c>
      <c r="H16" s="25">
        <f>+[1]SF!$F26</f>
        <v>80000000</v>
      </c>
      <c r="I16" s="25">
        <f t="shared" si="12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6">
        <v>0</v>
      </c>
      <c r="AG16" s="27">
        <f t="shared" si="1"/>
        <v>0.89666670000000004</v>
      </c>
      <c r="AH16" s="24">
        <f t="shared" si="17"/>
        <v>17933334</v>
      </c>
      <c r="AI16" s="24"/>
      <c r="AJ16" s="24">
        <f>+[3]SEPTIEMBRE!$K$653</f>
        <v>17933334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3"/>
        <v>0.10333329999999996</v>
      </c>
      <c r="BG16" s="24">
        <f t="shared" si="3"/>
        <v>2066666</v>
      </c>
      <c r="BH16" s="24">
        <f t="shared" si="4"/>
        <v>0</v>
      </c>
      <c r="BI16" s="24">
        <f t="shared" si="4"/>
        <v>2066666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0.89666665000000001</v>
      </c>
      <c r="CF16" s="24">
        <f t="shared" si="7"/>
        <v>17933333</v>
      </c>
      <c r="CG16" s="24"/>
      <c r="CH16" s="24">
        <f>+[3]SEPTIEMBRE!$H$651</f>
        <v>17933333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0.10333334999999999</v>
      </c>
      <c r="DE16" s="24">
        <f t="shared" si="14"/>
        <v>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  <c r="ED16" s="31">
        <f t="shared" si="11"/>
        <v>20000000</v>
      </c>
      <c r="EE16" s="31">
        <f t="shared" si="15"/>
        <v>20000000</v>
      </c>
      <c r="EF16" s="31">
        <f t="shared" si="16"/>
        <v>20000000</v>
      </c>
    </row>
    <row r="17" spans="1:137" ht="61.9" customHeight="1" x14ac:dyDescent="0.25">
      <c r="A17" s="32"/>
      <c r="B17" s="209" t="s">
        <v>77</v>
      </c>
      <c r="C17" s="34" t="s">
        <v>78</v>
      </c>
      <c r="D17" s="21" t="s">
        <v>79</v>
      </c>
      <c r="E17" s="22">
        <v>510</v>
      </c>
      <c r="F17" s="23" t="s">
        <v>80</v>
      </c>
      <c r="G17" s="24">
        <f t="shared" si="0"/>
        <v>225294009</v>
      </c>
      <c r="H17" s="25">
        <f>+[1]SF!$F32</f>
        <v>150000000</v>
      </c>
      <c r="I17" s="25">
        <f t="shared" si="12"/>
        <v>-75294009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>
        <f>69969309+37823425-4456688</f>
        <v>103336046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6">
        <f>80030691+5000000+10000000+2000000+9927272+5000000+10000000</f>
        <v>121957963</v>
      </c>
      <c r="AG17" s="27">
        <f t="shared" si="1"/>
        <v>0.90914103712362804</v>
      </c>
      <c r="AH17" s="24">
        <f t="shared" si="17"/>
        <v>204824029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+[3]SEPTIEMBRE!$U$2761</f>
        <v>103336066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+[2]OCTUBRE!$AG$2959</f>
        <v>101487963</v>
      </c>
      <c r="BF17" s="27">
        <f t="shared" si="13"/>
        <v>9.0858962876371963E-2</v>
      </c>
      <c r="BG17" s="24">
        <f t="shared" si="3"/>
        <v>20469980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-20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20470000</v>
      </c>
      <c r="CE17" s="27">
        <f t="shared" si="6"/>
        <v>0.71461384931900251</v>
      </c>
      <c r="CF17" s="24">
        <f t="shared" si="7"/>
        <v>160998219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+[3]SEPTIEMBRE!$H$2762+[3]SEPTIEMBRE!$H$2805+[3]SEPTIEMBRE!$H$2809</f>
        <v>103336065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+[3]SEPTIEMBRE!$H$2771+[3]SEPTIEMBRE!$H$2777+[3]SEPTIEMBRE!$H$2780+[3]SEPTIEMBRE!$H$2783+[3]SEPTIEMBRE!$H$2787+[3]SEPTIEMBRE!$H$2797+[3]SEPTIEMBRE!$H$2802+[3]SEPTIEMBRE!$H$2814+[3]SEPTIEMBRE!$H$2817</f>
        <v>57662154</v>
      </c>
      <c r="DD17" s="27">
        <f t="shared" si="8"/>
        <v>0.28538615068099749</v>
      </c>
      <c r="DE17" s="24">
        <f t="shared" si="14"/>
        <v>64295790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-19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64295809</v>
      </c>
      <c r="ED17" s="31">
        <f t="shared" si="11"/>
        <v>225294009</v>
      </c>
      <c r="EE17" s="31">
        <f t="shared" si="15"/>
        <v>225294009</v>
      </c>
      <c r="EF17" s="31">
        <f t="shared" si="16"/>
        <v>225294009</v>
      </c>
    </row>
    <row r="18" spans="1:137" ht="33.6" customHeight="1" x14ac:dyDescent="0.25">
      <c r="A18" s="32"/>
      <c r="B18" s="210"/>
      <c r="C18" s="20" t="s">
        <v>81</v>
      </c>
      <c r="D18" s="21" t="s">
        <v>82</v>
      </c>
      <c r="E18" s="22">
        <v>510</v>
      </c>
      <c r="F18" s="23" t="s">
        <v>53</v>
      </c>
      <c r="G18" s="24">
        <f t="shared" si="0"/>
        <v>5236308</v>
      </c>
      <c r="H18" s="25">
        <f>+[1]SF!$F33</f>
        <v>51000000</v>
      </c>
      <c r="I18" s="25">
        <f t="shared" si="12"/>
        <v>45763692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>
        <f>51000000-45763692</f>
        <v>5236308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6">
        <f>10000000-10000000</f>
        <v>0</v>
      </c>
      <c r="AG18" s="27">
        <f t="shared" si="1"/>
        <v>0.8381878988019803</v>
      </c>
      <c r="AH18" s="24">
        <f t="shared" si="17"/>
        <v>4389010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>
        <f>+[2]OCTUBRE!$U$3028</f>
        <v>4389010</v>
      </c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3"/>
        <v>0.1618121011980197</v>
      </c>
      <c r="BG18" s="24">
        <f t="shared" si="3"/>
        <v>847298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847298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1</v>
      </c>
      <c r="DE18" s="24">
        <f t="shared" si="14"/>
        <v>5236308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  <c r="ED18" s="31">
        <f t="shared" si="11"/>
        <v>5236308</v>
      </c>
      <c r="EE18" s="31">
        <f t="shared" si="15"/>
        <v>5236308</v>
      </c>
      <c r="EF18" s="31">
        <f t="shared" si="16"/>
        <v>5236308</v>
      </c>
    </row>
    <row r="19" spans="1:137" ht="48" customHeight="1" x14ac:dyDescent="0.25">
      <c r="A19" s="32"/>
      <c r="B19" s="226"/>
      <c r="C19" s="20" t="s">
        <v>83</v>
      </c>
      <c r="D19" s="21" t="s">
        <v>84</v>
      </c>
      <c r="E19" s="22">
        <v>510</v>
      </c>
      <c r="F19" s="23" t="s">
        <v>53</v>
      </c>
      <c r="G19" s="24">
        <f t="shared" si="0"/>
        <v>112396955</v>
      </c>
      <c r="H19" s="25">
        <f>+[1]SF!$F34</f>
        <v>100000000</v>
      </c>
      <c r="I19" s="25">
        <f t="shared" si="12"/>
        <v>-12396955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>
        <f>100000000+7940267+4456688</f>
        <v>112396955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6">
        <v>0</v>
      </c>
      <c r="AG19" s="27">
        <f t="shared" si="1"/>
        <v>0.96034867670569901</v>
      </c>
      <c r="AH19" s="24">
        <f t="shared" si="17"/>
        <v>107940267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+[4]JULIO!$U$2351</f>
        <v>107940267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7">
        <f t="shared" si="13"/>
        <v>3.9651323294300989E-2</v>
      </c>
      <c r="BG19" s="24">
        <f t="shared" si="3"/>
        <v>4456688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4456688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0.9578456284692054</v>
      </c>
      <c r="CF19" s="24">
        <f t="shared" si="7"/>
        <v>107658932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+[3]SEPTIEMBRE!$H$2834</f>
        <v>107658932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7">
        <f t="shared" si="8"/>
        <v>4.2154371530794599E-2</v>
      </c>
      <c r="DE19" s="24">
        <f t="shared" si="14"/>
        <v>4738023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4738023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  <c r="ED19" s="31">
        <f t="shared" si="11"/>
        <v>112396955</v>
      </c>
      <c r="EE19" s="31">
        <f t="shared" si="15"/>
        <v>112396955</v>
      </c>
      <c r="EF19" s="31">
        <f t="shared" si="16"/>
        <v>112396955</v>
      </c>
    </row>
    <row r="20" spans="1:137" ht="48" customHeight="1" x14ac:dyDescent="0.25">
      <c r="A20" s="32"/>
      <c r="B20" s="36" t="s">
        <v>85</v>
      </c>
      <c r="C20" s="34" t="s">
        <v>86</v>
      </c>
      <c r="D20" s="35" t="s">
        <v>87</v>
      </c>
      <c r="E20" s="22">
        <v>510</v>
      </c>
      <c r="F20" s="23" t="s">
        <v>88</v>
      </c>
      <c r="G20" s="24">
        <f t="shared" si="0"/>
        <v>17000000</v>
      </c>
      <c r="H20" s="25">
        <f>+[1]SF!$F$40</f>
        <v>20000000</v>
      </c>
      <c r="I20" s="25">
        <f t="shared" si="12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6">
        <f>3000000-3000000</f>
        <v>0</v>
      </c>
      <c r="AG20" s="27">
        <f t="shared" si="1"/>
        <v>0.25817705882352943</v>
      </c>
      <c r="AH20" s="24">
        <f t="shared" si="17"/>
        <v>4389010</v>
      </c>
      <c r="AI20" s="24"/>
      <c r="AJ20" s="24">
        <f>+[2]OCTUBRE!$K$3064</f>
        <v>4389010</v>
      </c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3"/>
        <v>0.74182294117647052</v>
      </c>
      <c r="BG20" s="24">
        <f t="shared" si="3"/>
        <v>12610990</v>
      </c>
      <c r="BH20" s="24">
        <f t="shared" si="4"/>
        <v>0</v>
      </c>
      <c r="BI20" s="24">
        <f t="shared" si="4"/>
        <v>12610990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1</v>
      </c>
      <c r="DE20" s="24">
        <f t="shared" si="14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  <c r="ED20" s="31">
        <f t="shared" si="11"/>
        <v>17000000</v>
      </c>
      <c r="EE20" s="31">
        <f t="shared" si="15"/>
        <v>17000000</v>
      </c>
      <c r="EF20" s="31">
        <f t="shared" si="16"/>
        <v>17000000</v>
      </c>
    </row>
    <row r="21" spans="1:137" ht="35.25" customHeight="1" x14ac:dyDescent="0.25">
      <c r="A21" s="32"/>
      <c r="B21" s="209" t="s">
        <v>89</v>
      </c>
      <c r="C21" s="34" t="s">
        <v>90</v>
      </c>
      <c r="D21" s="35" t="s">
        <v>91</v>
      </c>
      <c r="E21" s="22">
        <v>510</v>
      </c>
      <c r="F21" s="23" t="s">
        <v>92</v>
      </c>
      <c r="G21" s="24">
        <f t="shared" si="0"/>
        <v>12138000</v>
      </c>
      <c r="H21" s="25">
        <f>+[1]SF!$F46</f>
        <v>20000000</v>
      </c>
      <c r="I21" s="25">
        <f>+H21-G21</f>
        <v>7862000</v>
      </c>
      <c r="J21" s="24"/>
      <c r="K21" s="24">
        <f>10000000+2138000</f>
        <v>12138000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6">
        <v>0</v>
      </c>
      <c r="AG21" s="27">
        <f t="shared" si="1"/>
        <v>1</v>
      </c>
      <c r="AH21" s="24">
        <f t="shared" si="17"/>
        <v>12138000</v>
      </c>
      <c r="AI21" s="24"/>
      <c r="AJ21" s="24">
        <f>+[4]JULIO!$K$2388</f>
        <v>12138000</v>
      </c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3"/>
        <v>0</v>
      </c>
      <c r="BG21" s="24">
        <f t="shared" si="3"/>
        <v>0</v>
      </c>
      <c r="BH21" s="24">
        <f t="shared" si="4"/>
        <v>0</v>
      </c>
      <c r="BI21" s="24">
        <f t="shared" si="4"/>
        <v>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8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</v>
      </c>
      <c r="DE21" s="24">
        <f t="shared" si="14"/>
        <v>12138000</v>
      </c>
      <c r="DF21" s="24">
        <f t="shared" si="9"/>
        <v>0</v>
      </c>
      <c r="DG21" s="24">
        <f t="shared" si="9"/>
        <v>12138000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9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  <c r="ED21" s="31">
        <f t="shared" si="11"/>
        <v>12138000</v>
      </c>
      <c r="EE21" s="31">
        <f t="shared" si="15"/>
        <v>12138000</v>
      </c>
      <c r="EF21" s="31">
        <f t="shared" si="16"/>
        <v>12138000</v>
      </c>
    </row>
    <row r="22" spans="1:137" ht="36" customHeight="1" x14ac:dyDescent="0.25">
      <c r="A22" s="32"/>
      <c r="B22" s="210"/>
      <c r="C22" s="34" t="s">
        <v>93</v>
      </c>
      <c r="D22" s="35" t="s">
        <v>94</v>
      </c>
      <c r="E22" s="22">
        <v>510</v>
      </c>
      <c r="F22" s="23" t="s">
        <v>95</v>
      </c>
      <c r="G22" s="24">
        <f t="shared" si="0"/>
        <v>94302000</v>
      </c>
      <c r="H22" s="25">
        <f>+[1]SF!$F47</f>
        <v>150000000</v>
      </c>
      <c r="I22" s="25">
        <f t="shared" si="12"/>
        <v>55698000</v>
      </c>
      <c r="J22" s="24"/>
      <c r="K22" s="37">
        <f>50000000+11885908-4583908</f>
        <v>57302000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6">
        <f>37000000+6000000-6000000</f>
        <v>37000000</v>
      </c>
      <c r="AG22" s="27">
        <f t="shared" si="1"/>
        <v>0.80418767364424937</v>
      </c>
      <c r="AH22" s="24">
        <f t="shared" si="17"/>
        <v>75836506</v>
      </c>
      <c r="AI22" s="24"/>
      <c r="AJ22" s="24">
        <f>+[3]SEPTIEMBRE!$K$2886</f>
        <v>55836506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+[2]OCTUBRE!$AG$3082</f>
        <v>20000000</v>
      </c>
      <c r="BF22" s="27">
        <f t="shared" si="13"/>
        <v>0.19581232635575063</v>
      </c>
      <c r="BG22" s="24">
        <f t="shared" si="3"/>
        <v>18465494</v>
      </c>
      <c r="BH22" s="24">
        <f t="shared" ref="BH22:BV23" si="20">+J22-AI22</f>
        <v>0</v>
      </c>
      <c r="BI22" s="24">
        <f t="shared" si="20"/>
        <v>1465494</v>
      </c>
      <c r="BJ22" s="24">
        <f t="shared" si="20"/>
        <v>0</v>
      </c>
      <c r="BK22" s="24">
        <f t="shared" si="20"/>
        <v>0</v>
      </c>
      <c r="BL22" s="24">
        <f t="shared" si="20"/>
        <v>0</v>
      </c>
      <c r="BM22" s="24">
        <f t="shared" si="20"/>
        <v>0</v>
      </c>
      <c r="BN22" s="24">
        <f t="shared" si="20"/>
        <v>0</v>
      </c>
      <c r="BO22" s="24">
        <f t="shared" si="20"/>
        <v>0</v>
      </c>
      <c r="BP22" s="24">
        <f t="shared" si="20"/>
        <v>0</v>
      </c>
      <c r="BQ22" s="24">
        <f t="shared" si="20"/>
        <v>0</v>
      </c>
      <c r="BR22" s="24">
        <f t="shared" si="20"/>
        <v>0</v>
      </c>
      <c r="BS22" s="24">
        <f t="shared" si="20"/>
        <v>0</v>
      </c>
      <c r="BT22" s="24">
        <f t="shared" si="20"/>
        <v>0</v>
      </c>
      <c r="BU22" s="24">
        <f t="shared" si="20"/>
        <v>0</v>
      </c>
      <c r="BV22" s="24">
        <f t="shared" si="20"/>
        <v>0</v>
      </c>
      <c r="BW22" s="24">
        <f t="shared" si="18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17000000</v>
      </c>
      <c r="CE22" s="27">
        <f t="shared" si="6"/>
        <v>0.7479801700918326</v>
      </c>
      <c r="CF22" s="24">
        <f t="shared" si="7"/>
        <v>70536026</v>
      </c>
      <c r="CG22" s="24"/>
      <c r="CH22" s="24">
        <f>+[3]SEPTIEMBRE!$H$2887+[3]SEPTIEMBRE!$H$2890+[3]SEPTIEMBRE!$H$2894+[3]SEPTIEMBRE!$H$2913+[3]SEPTIEMBRE!$H$2920+[3]SEPTIEMBRE!$H$2924</f>
        <v>55836026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+[3]SEPTIEMBRE!$H$2902+[3]SEPTIEMBRE!$H$2908+[3]SEPTIEMBRE!$H$2916+[2]OCTUBRE!$H$3123</f>
        <v>14700000</v>
      </c>
      <c r="DD22" s="27">
        <f t="shared" si="8"/>
        <v>0.2520198299081674</v>
      </c>
      <c r="DE22" s="24">
        <f t="shared" si="14"/>
        <v>23765974</v>
      </c>
      <c r="DF22" s="24">
        <f t="shared" ref="DF22:DT23" si="21">+J22-CG22</f>
        <v>0</v>
      </c>
      <c r="DG22" s="24">
        <f t="shared" si="21"/>
        <v>1465974</v>
      </c>
      <c r="DH22" s="24">
        <f t="shared" si="21"/>
        <v>0</v>
      </c>
      <c r="DI22" s="24">
        <f t="shared" si="21"/>
        <v>0</v>
      </c>
      <c r="DJ22" s="24">
        <f t="shared" si="21"/>
        <v>0</v>
      </c>
      <c r="DK22" s="24">
        <f t="shared" si="21"/>
        <v>0</v>
      </c>
      <c r="DL22" s="24">
        <f t="shared" si="21"/>
        <v>0</v>
      </c>
      <c r="DM22" s="24">
        <f t="shared" si="21"/>
        <v>0</v>
      </c>
      <c r="DN22" s="24">
        <f t="shared" si="21"/>
        <v>0</v>
      </c>
      <c r="DO22" s="24">
        <f t="shared" si="21"/>
        <v>0</v>
      </c>
      <c r="DP22" s="24">
        <f t="shared" si="21"/>
        <v>0</v>
      </c>
      <c r="DQ22" s="24">
        <f t="shared" si="21"/>
        <v>0</v>
      </c>
      <c r="DR22" s="24">
        <f t="shared" si="21"/>
        <v>0</v>
      </c>
      <c r="DS22" s="24">
        <f t="shared" si="21"/>
        <v>0</v>
      </c>
      <c r="DT22" s="24">
        <f t="shared" si="21"/>
        <v>0</v>
      </c>
      <c r="DU22" s="24">
        <f t="shared" si="19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22300000</v>
      </c>
      <c r="ED22" s="31">
        <f t="shared" si="11"/>
        <v>94302000</v>
      </c>
      <c r="EE22" s="31">
        <f t="shared" si="15"/>
        <v>94302000</v>
      </c>
      <c r="EF22" s="31">
        <f t="shared" si="16"/>
        <v>94302000</v>
      </c>
    </row>
    <row r="23" spans="1:137" ht="54.75" customHeight="1" x14ac:dyDescent="0.25">
      <c r="A23" s="32"/>
      <c r="B23" s="226"/>
      <c r="C23" s="34" t="s">
        <v>96</v>
      </c>
      <c r="D23" s="35" t="s">
        <v>97</v>
      </c>
      <c r="E23" s="22">
        <v>510</v>
      </c>
      <c r="F23" s="23" t="s">
        <v>92</v>
      </c>
      <c r="G23" s="24">
        <f t="shared" si="0"/>
        <v>21560000</v>
      </c>
      <c r="H23" s="25">
        <f>+[1]SF!$F48</f>
        <v>100000000</v>
      </c>
      <c r="I23" s="25">
        <f t="shared" si="12"/>
        <v>78440000</v>
      </c>
      <c r="J23" s="24"/>
      <c r="K23" s="37">
        <f>19114092-14023908+4583908</f>
        <v>9674092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f>11885908</f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7">
        <f t="shared" si="1"/>
        <v>0.9947433673469388</v>
      </c>
      <c r="AH23" s="24">
        <f t="shared" si="17"/>
        <v>21446667</v>
      </c>
      <c r="AI23" s="24"/>
      <c r="AJ23" s="24">
        <f>+[2]OCTUBRE!$K$3137</f>
        <v>9560759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f>+[2]OCTUBRE!$U$3137</f>
        <v>11885908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3"/>
        <v>5.2566326530611995E-3</v>
      </c>
      <c r="BG23" s="24">
        <f t="shared" si="3"/>
        <v>113333</v>
      </c>
      <c r="BH23" s="24">
        <f t="shared" si="20"/>
        <v>0</v>
      </c>
      <c r="BI23" s="24">
        <f t="shared" si="20"/>
        <v>113333</v>
      </c>
      <c r="BJ23" s="24">
        <f t="shared" si="20"/>
        <v>0</v>
      </c>
      <c r="BK23" s="24">
        <f t="shared" si="20"/>
        <v>0</v>
      </c>
      <c r="BL23" s="24">
        <f t="shared" si="20"/>
        <v>0</v>
      </c>
      <c r="BM23" s="24">
        <f t="shared" si="20"/>
        <v>0</v>
      </c>
      <c r="BN23" s="24">
        <f t="shared" si="20"/>
        <v>0</v>
      </c>
      <c r="BO23" s="24">
        <f t="shared" si="20"/>
        <v>0</v>
      </c>
      <c r="BP23" s="24">
        <f t="shared" si="20"/>
        <v>0</v>
      </c>
      <c r="BQ23" s="24">
        <f t="shared" si="20"/>
        <v>0</v>
      </c>
      <c r="BR23" s="24">
        <f t="shared" si="20"/>
        <v>0</v>
      </c>
      <c r="BS23" s="24">
        <f t="shared" si="20"/>
        <v>0</v>
      </c>
      <c r="BT23" s="24">
        <f t="shared" si="20"/>
        <v>0</v>
      </c>
      <c r="BU23" s="24">
        <f t="shared" si="20"/>
        <v>0</v>
      </c>
      <c r="BV23" s="24">
        <f t="shared" si="20"/>
        <v>0</v>
      </c>
      <c r="BW23" s="24">
        <f t="shared" si="18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6.7099582560296842E-2</v>
      </c>
      <c r="CF23" s="24">
        <f t="shared" si="7"/>
        <v>1446667</v>
      </c>
      <c r="CG23" s="24"/>
      <c r="CH23" s="24">
        <f>+'[5]FEBRERO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0.9329004174397032</v>
      </c>
      <c r="DE23" s="24">
        <f t="shared" si="14"/>
        <v>20113333</v>
      </c>
      <c r="DF23" s="24">
        <f t="shared" si="21"/>
        <v>0</v>
      </c>
      <c r="DG23" s="24">
        <f t="shared" si="21"/>
        <v>8227425</v>
      </c>
      <c r="DH23" s="24">
        <f t="shared" si="21"/>
        <v>0</v>
      </c>
      <c r="DI23" s="24">
        <f t="shared" si="21"/>
        <v>0</v>
      </c>
      <c r="DJ23" s="24">
        <f t="shared" si="21"/>
        <v>0</v>
      </c>
      <c r="DK23" s="24">
        <f t="shared" si="21"/>
        <v>0</v>
      </c>
      <c r="DL23" s="24">
        <f t="shared" si="21"/>
        <v>0</v>
      </c>
      <c r="DM23" s="24">
        <f t="shared" si="21"/>
        <v>0</v>
      </c>
      <c r="DN23" s="24">
        <f t="shared" si="21"/>
        <v>0</v>
      </c>
      <c r="DO23" s="24">
        <f t="shared" si="21"/>
        <v>0</v>
      </c>
      <c r="DP23" s="24">
        <f t="shared" si="21"/>
        <v>0</v>
      </c>
      <c r="DQ23" s="24">
        <f t="shared" si="21"/>
        <v>11885908</v>
      </c>
      <c r="DR23" s="24">
        <f t="shared" si="21"/>
        <v>0</v>
      </c>
      <c r="DS23" s="24">
        <f t="shared" si="21"/>
        <v>0</v>
      </c>
      <c r="DT23" s="24">
        <f t="shared" si="21"/>
        <v>0</v>
      </c>
      <c r="DU23" s="24">
        <f t="shared" si="19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  <c r="ED23" s="31">
        <f t="shared" si="11"/>
        <v>21560000</v>
      </c>
      <c r="EE23" s="31">
        <f t="shared" si="15"/>
        <v>21560000</v>
      </c>
      <c r="EF23" s="31">
        <f t="shared" si="16"/>
        <v>21560000</v>
      </c>
    </row>
    <row r="24" spans="1:137" s="44" customFormat="1" ht="17.25" customHeight="1" thickBot="1" x14ac:dyDescent="0.3">
      <c r="A24" s="38"/>
      <c r="B24" s="227" t="s">
        <v>98</v>
      </c>
      <c r="C24" s="227"/>
      <c r="D24" s="227"/>
      <c r="E24" s="227"/>
      <c r="F24" s="39"/>
      <c r="G24" s="40">
        <f t="shared" ref="G24:AF24" si="22">SUM(G6:G23)</f>
        <v>1966134749</v>
      </c>
      <c r="H24" s="41">
        <f t="shared" si="22"/>
        <v>3317107400.67272</v>
      </c>
      <c r="I24" s="41">
        <f t="shared" si="22"/>
        <v>1350972651.67272</v>
      </c>
      <c r="J24" s="40">
        <f t="shared" si="22"/>
        <v>0</v>
      </c>
      <c r="K24" s="40">
        <f t="shared" si="22"/>
        <v>336114092</v>
      </c>
      <c r="L24" s="40">
        <f t="shared" si="22"/>
        <v>0</v>
      </c>
      <c r="M24" s="40">
        <f t="shared" si="22"/>
        <v>281990457</v>
      </c>
      <c r="N24" s="40">
        <f t="shared" si="22"/>
        <v>0</v>
      </c>
      <c r="O24" s="40">
        <f t="shared" si="22"/>
        <v>0</v>
      </c>
      <c r="P24" s="40">
        <f t="shared" si="22"/>
        <v>0</v>
      </c>
      <c r="Q24" s="40">
        <f t="shared" si="22"/>
        <v>0</v>
      </c>
      <c r="R24" s="40">
        <f t="shared" si="22"/>
        <v>0</v>
      </c>
      <c r="S24" s="40">
        <f t="shared" si="22"/>
        <v>0</v>
      </c>
      <c r="T24" s="40">
        <f t="shared" si="22"/>
        <v>0</v>
      </c>
      <c r="U24" s="40">
        <f t="shared" si="22"/>
        <v>482855217</v>
      </c>
      <c r="V24" s="40">
        <f t="shared" si="22"/>
        <v>0</v>
      </c>
      <c r="W24" s="40">
        <f t="shared" si="22"/>
        <v>0</v>
      </c>
      <c r="X24" s="40">
        <f t="shared" si="22"/>
        <v>0</v>
      </c>
      <c r="Y24" s="40">
        <f t="shared" si="22"/>
        <v>0</v>
      </c>
      <c r="Z24" s="40">
        <f t="shared" si="22"/>
        <v>0</v>
      </c>
      <c r="AA24" s="40">
        <f t="shared" si="22"/>
        <v>50000000</v>
      </c>
      <c r="AB24" s="40">
        <f t="shared" si="22"/>
        <v>0</v>
      </c>
      <c r="AC24" s="40">
        <f t="shared" si="22"/>
        <v>0</v>
      </c>
      <c r="AD24" s="40">
        <f t="shared" si="22"/>
        <v>0</v>
      </c>
      <c r="AE24" s="40">
        <f t="shared" si="22"/>
        <v>500133503</v>
      </c>
      <c r="AF24" s="40">
        <f t="shared" si="22"/>
        <v>315041480</v>
      </c>
      <c r="AG24" s="42">
        <f t="shared" si="1"/>
        <v>0.82718289620138341</v>
      </c>
      <c r="AH24" s="43">
        <f>SUM(AH6:AH23)</f>
        <v>1626353036</v>
      </c>
      <c r="AI24" s="43">
        <f t="shared" ref="AI24:BE24" si="23">SUM(AI6:AI23)</f>
        <v>0</v>
      </c>
      <c r="AJ24" s="43">
        <f t="shared" si="23"/>
        <v>304289952</v>
      </c>
      <c r="AK24" s="43">
        <f t="shared" si="23"/>
        <v>0</v>
      </c>
      <c r="AL24" s="43">
        <f t="shared" si="23"/>
        <v>114000000</v>
      </c>
      <c r="AM24" s="43">
        <f t="shared" si="23"/>
        <v>0</v>
      </c>
      <c r="AN24" s="43">
        <f t="shared" si="23"/>
        <v>0</v>
      </c>
      <c r="AO24" s="43">
        <f t="shared" si="23"/>
        <v>0</v>
      </c>
      <c r="AP24" s="43">
        <f t="shared" si="23"/>
        <v>0</v>
      </c>
      <c r="AQ24" s="43">
        <f t="shared" si="23"/>
        <v>0</v>
      </c>
      <c r="AR24" s="43">
        <f t="shared" si="23"/>
        <v>0</v>
      </c>
      <c r="AS24" s="43">
        <f t="shared" si="23"/>
        <v>0</v>
      </c>
      <c r="AT24" s="43">
        <f t="shared" si="23"/>
        <v>477551251</v>
      </c>
      <c r="AU24" s="43">
        <f t="shared" si="23"/>
        <v>0</v>
      </c>
      <c r="AV24" s="43">
        <f t="shared" si="23"/>
        <v>0</v>
      </c>
      <c r="AW24" s="43">
        <f t="shared" si="23"/>
        <v>0</v>
      </c>
      <c r="AX24" s="43">
        <f t="shared" si="23"/>
        <v>0</v>
      </c>
      <c r="AY24" s="43">
        <f t="shared" si="23"/>
        <v>0</v>
      </c>
      <c r="AZ24" s="43">
        <f t="shared" si="23"/>
        <v>43063870</v>
      </c>
      <c r="BA24" s="43">
        <f t="shared" si="23"/>
        <v>0</v>
      </c>
      <c r="BB24" s="43">
        <f t="shared" si="23"/>
        <v>0</v>
      </c>
      <c r="BC24" s="43">
        <f t="shared" si="23"/>
        <v>0</v>
      </c>
      <c r="BD24" s="43">
        <f t="shared" si="23"/>
        <v>452500000</v>
      </c>
      <c r="BE24" s="43">
        <f t="shared" si="23"/>
        <v>234947963</v>
      </c>
      <c r="BF24" s="42">
        <f t="shared" si="13"/>
        <v>0.17281710379861659</v>
      </c>
      <c r="BG24" s="43">
        <f t="shared" ref="BG24:DC24" si="24">SUM(BG6:BG23)</f>
        <v>339781713</v>
      </c>
      <c r="BH24" s="43">
        <f t="shared" si="24"/>
        <v>0</v>
      </c>
      <c r="BI24" s="43">
        <f t="shared" si="24"/>
        <v>31824140</v>
      </c>
      <c r="BJ24" s="43">
        <f t="shared" si="24"/>
        <v>0</v>
      </c>
      <c r="BK24" s="43">
        <f t="shared" si="24"/>
        <v>167990457</v>
      </c>
      <c r="BL24" s="43">
        <f t="shared" si="24"/>
        <v>0</v>
      </c>
      <c r="BM24" s="43">
        <f t="shared" si="24"/>
        <v>0</v>
      </c>
      <c r="BN24" s="43">
        <f t="shared" si="24"/>
        <v>0</v>
      </c>
      <c r="BO24" s="43">
        <f t="shared" si="24"/>
        <v>0</v>
      </c>
      <c r="BP24" s="43">
        <f t="shared" si="24"/>
        <v>0</v>
      </c>
      <c r="BQ24" s="43">
        <f t="shared" si="24"/>
        <v>0</v>
      </c>
      <c r="BR24" s="43">
        <f t="shared" si="24"/>
        <v>0</v>
      </c>
      <c r="BS24" s="43">
        <f t="shared" si="24"/>
        <v>5303966</v>
      </c>
      <c r="BT24" s="43">
        <f t="shared" si="24"/>
        <v>0</v>
      </c>
      <c r="BU24" s="43">
        <f t="shared" si="24"/>
        <v>0</v>
      </c>
      <c r="BV24" s="43">
        <f t="shared" si="24"/>
        <v>0</v>
      </c>
      <c r="BW24" s="43">
        <f t="shared" si="24"/>
        <v>0</v>
      </c>
      <c r="BX24" s="43">
        <f t="shared" si="24"/>
        <v>0</v>
      </c>
      <c r="BY24" s="43">
        <f t="shared" si="24"/>
        <v>6936130</v>
      </c>
      <c r="BZ24" s="43">
        <f t="shared" si="24"/>
        <v>0</v>
      </c>
      <c r="CA24" s="43">
        <f t="shared" si="24"/>
        <v>0</v>
      </c>
      <c r="CB24" s="43">
        <f t="shared" si="24"/>
        <v>0</v>
      </c>
      <c r="CC24" s="43">
        <f t="shared" si="24"/>
        <v>47633503</v>
      </c>
      <c r="CD24" s="43">
        <f t="shared" si="24"/>
        <v>80093517</v>
      </c>
      <c r="CE24" s="42">
        <f t="shared" si="6"/>
        <v>0.43103190126263313</v>
      </c>
      <c r="CF24" s="43">
        <f t="shared" si="24"/>
        <v>847466799</v>
      </c>
      <c r="CG24" s="43">
        <f t="shared" si="24"/>
        <v>0</v>
      </c>
      <c r="CH24" s="43">
        <f t="shared" si="24"/>
        <v>238177609</v>
      </c>
      <c r="CI24" s="43">
        <f t="shared" si="24"/>
        <v>0</v>
      </c>
      <c r="CJ24" s="43">
        <f t="shared" si="24"/>
        <v>0</v>
      </c>
      <c r="CK24" s="43">
        <f t="shared" si="24"/>
        <v>0</v>
      </c>
      <c r="CL24" s="43">
        <f t="shared" si="24"/>
        <v>0</v>
      </c>
      <c r="CM24" s="43">
        <f t="shared" si="24"/>
        <v>0</v>
      </c>
      <c r="CN24" s="43">
        <f t="shared" si="24"/>
        <v>0</v>
      </c>
      <c r="CO24" s="43">
        <f t="shared" si="24"/>
        <v>0</v>
      </c>
      <c r="CP24" s="43">
        <f t="shared" si="24"/>
        <v>0</v>
      </c>
      <c r="CQ24" s="43">
        <f t="shared" si="24"/>
        <v>0</v>
      </c>
      <c r="CR24" s="43">
        <f t="shared" si="24"/>
        <v>383850234</v>
      </c>
      <c r="CS24" s="43">
        <f t="shared" si="24"/>
        <v>0</v>
      </c>
      <c r="CT24" s="43">
        <f t="shared" si="24"/>
        <v>0</v>
      </c>
      <c r="CU24" s="43">
        <f t="shared" si="24"/>
        <v>0</v>
      </c>
      <c r="CV24" s="43">
        <f t="shared" si="24"/>
        <v>0</v>
      </c>
      <c r="CW24" s="43">
        <f t="shared" si="24"/>
        <v>0</v>
      </c>
      <c r="CX24" s="43">
        <f t="shared" si="24"/>
        <v>43063870</v>
      </c>
      <c r="CY24" s="43">
        <f t="shared" si="24"/>
        <v>0</v>
      </c>
      <c r="CZ24" s="43">
        <f t="shared" si="24"/>
        <v>0</v>
      </c>
      <c r="DA24" s="43">
        <f t="shared" si="24"/>
        <v>0</v>
      </c>
      <c r="DB24" s="43">
        <f t="shared" si="24"/>
        <v>56673333</v>
      </c>
      <c r="DC24" s="43">
        <f t="shared" si="24"/>
        <v>125701753</v>
      </c>
      <c r="DD24" s="42">
        <f t="shared" si="8"/>
        <v>0.56896809873736687</v>
      </c>
      <c r="DE24" s="43">
        <f>SUM(DE6:DE23)</f>
        <v>1118667950</v>
      </c>
      <c r="DF24" s="43">
        <f t="shared" ref="DF24:EB24" si="25">SUM(DF6:DF23)</f>
        <v>0</v>
      </c>
      <c r="DG24" s="43">
        <f t="shared" si="25"/>
        <v>97936483</v>
      </c>
      <c r="DH24" s="43">
        <f t="shared" si="25"/>
        <v>0</v>
      </c>
      <c r="DI24" s="43">
        <f t="shared" si="25"/>
        <v>281990457</v>
      </c>
      <c r="DJ24" s="43">
        <f t="shared" si="25"/>
        <v>0</v>
      </c>
      <c r="DK24" s="43">
        <f t="shared" si="25"/>
        <v>0</v>
      </c>
      <c r="DL24" s="43">
        <f t="shared" si="25"/>
        <v>0</v>
      </c>
      <c r="DM24" s="43">
        <f t="shared" si="25"/>
        <v>0</v>
      </c>
      <c r="DN24" s="43">
        <f t="shared" si="25"/>
        <v>0</v>
      </c>
      <c r="DO24" s="43">
        <f t="shared" si="25"/>
        <v>0</v>
      </c>
      <c r="DP24" s="43">
        <f t="shared" si="25"/>
        <v>0</v>
      </c>
      <c r="DQ24" s="43">
        <f t="shared" si="25"/>
        <v>99004983</v>
      </c>
      <c r="DR24" s="43">
        <f t="shared" si="25"/>
        <v>0</v>
      </c>
      <c r="DS24" s="43">
        <f t="shared" si="25"/>
        <v>0</v>
      </c>
      <c r="DT24" s="43">
        <f t="shared" si="25"/>
        <v>0</v>
      </c>
      <c r="DU24" s="43">
        <f t="shared" si="25"/>
        <v>0</v>
      </c>
      <c r="DV24" s="43">
        <f t="shared" si="25"/>
        <v>0</v>
      </c>
      <c r="DW24" s="43">
        <f t="shared" si="25"/>
        <v>6936130</v>
      </c>
      <c r="DX24" s="43">
        <f t="shared" si="25"/>
        <v>0</v>
      </c>
      <c r="DY24" s="43">
        <f t="shared" si="25"/>
        <v>0</v>
      </c>
      <c r="DZ24" s="43">
        <f t="shared" si="25"/>
        <v>0</v>
      </c>
      <c r="EA24" s="43">
        <f t="shared" si="25"/>
        <v>443460170</v>
      </c>
      <c r="EB24" s="43">
        <f t="shared" si="25"/>
        <v>189339727</v>
      </c>
      <c r="ED24" s="31">
        <f t="shared" si="11"/>
        <v>1966134749</v>
      </c>
      <c r="EE24" s="31">
        <f t="shared" si="15"/>
        <v>1966134749</v>
      </c>
      <c r="EF24" s="31">
        <f t="shared" si="16"/>
        <v>1966134749</v>
      </c>
      <c r="EG24" s="45"/>
    </row>
    <row r="25" spans="1:137" ht="24" customHeight="1" thickTop="1" x14ac:dyDescent="0.25">
      <c r="A25" s="46" t="s">
        <v>99</v>
      </c>
      <c r="B25" s="228" t="s">
        <v>100</v>
      </c>
      <c r="C25" s="20" t="s">
        <v>101</v>
      </c>
      <c r="D25" s="21" t="s">
        <v>102</v>
      </c>
      <c r="E25" s="22">
        <v>410</v>
      </c>
      <c r="F25" s="23" t="s">
        <v>103</v>
      </c>
      <c r="G25" s="24">
        <f t="shared" ref="G25:G49" si="26">SUM(J25:AF25)</f>
        <v>86899995</v>
      </c>
      <c r="H25" s="25">
        <f>+[7]SI!$F$5</f>
        <v>140000000</v>
      </c>
      <c r="I25" s="25">
        <f>+H25-G25</f>
        <v>53100005</v>
      </c>
      <c r="J25" s="24"/>
      <c r="K25" s="24"/>
      <c r="L25" s="24"/>
      <c r="M25" s="24"/>
      <c r="N25" s="24"/>
      <c r="O25" s="24"/>
      <c r="P25" s="24"/>
      <c r="Q25" s="24">
        <f>41000000+20000000-1000000-21423334+3323329</f>
        <v>41899995</v>
      </c>
      <c r="R25" s="24">
        <v>15000000</v>
      </c>
      <c r="S25" s="24">
        <v>15000000</v>
      </c>
      <c r="T25" s="24">
        <v>15000000</v>
      </c>
      <c r="U25" s="47"/>
      <c r="V25" s="47"/>
      <c r="W25" s="47"/>
      <c r="X25" s="47"/>
      <c r="Y25" s="47"/>
      <c r="Z25" s="24"/>
      <c r="AA25" s="47"/>
      <c r="AB25" s="47"/>
      <c r="AC25" s="47"/>
      <c r="AD25" s="47"/>
      <c r="AE25" s="47"/>
      <c r="AF25" s="47">
        <f>35000000-35000000</f>
        <v>0</v>
      </c>
      <c r="AG25" s="48">
        <f t="shared" si="1"/>
        <v>0.48216337641906654</v>
      </c>
      <c r="AH25" s="24">
        <f t="shared" ref="AH25:AH49" si="27">SUM(AI25:BE25)</f>
        <v>41899995</v>
      </c>
      <c r="AI25" s="24"/>
      <c r="AJ25" s="24"/>
      <c r="AK25" s="24"/>
      <c r="AL25" s="24"/>
      <c r="AM25" s="24"/>
      <c r="AN25" s="24"/>
      <c r="AO25" s="24"/>
      <c r="AP25" s="24">
        <f>+[3]SEPTIEMBRE!$Q$1374</f>
        <v>41899995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8">
        <f t="shared" si="13"/>
        <v>0.51783662358093352</v>
      </c>
      <c r="BG25" s="24">
        <f t="shared" ref="BG25:BG49" si="28">SUM(BH25:CD25)</f>
        <v>45000000</v>
      </c>
      <c r="BH25" s="24">
        <f t="shared" ref="BH25:BW40" si="29">+J25-AI25</f>
        <v>0</v>
      </c>
      <c r="BI25" s="24">
        <f t="shared" si="29"/>
        <v>0</v>
      </c>
      <c r="BJ25" s="24">
        <f t="shared" si="29"/>
        <v>0</v>
      </c>
      <c r="BK25" s="24">
        <f t="shared" si="29"/>
        <v>0</v>
      </c>
      <c r="BL25" s="24">
        <f t="shared" si="29"/>
        <v>0</v>
      </c>
      <c r="BM25" s="24">
        <f t="shared" si="29"/>
        <v>0</v>
      </c>
      <c r="BN25" s="24">
        <f t="shared" si="29"/>
        <v>0</v>
      </c>
      <c r="BO25" s="24">
        <f t="shared" si="29"/>
        <v>0</v>
      </c>
      <c r="BP25" s="24">
        <f t="shared" si="29"/>
        <v>15000000</v>
      </c>
      <c r="BQ25" s="24">
        <f t="shared" si="29"/>
        <v>15000000</v>
      </c>
      <c r="BR25" s="24">
        <f t="shared" si="29"/>
        <v>15000000</v>
      </c>
      <c r="BS25" s="24">
        <f t="shared" si="29"/>
        <v>0</v>
      </c>
      <c r="BT25" s="24">
        <f t="shared" si="29"/>
        <v>0</v>
      </c>
      <c r="BU25" s="24">
        <f t="shared" si="29"/>
        <v>0</v>
      </c>
      <c r="BV25" s="24">
        <f t="shared" si="29"/>
        <v>0</v>
      </c>
      <c r="BW25" s="24">
        <f t="shared" si="29"/>
        <v>0</v>
      </c>
      <c r="BX25" s="24">
        <f t="shared" ref="BX25:CD49" si="30">+Z25-AY25</f>
        <v>0</v>
      </c>
      <c r="BY25" s="24">
        <f t="shared" si="30"/>
        <v>0</v>
      </c>
      <c r="BZ25" s="24">
        <f t="shared" si="30"/>
        <v>0</v>
      </c>
      <c r="CA25" s="24">
        <f t="shared" si="30"/>
        <v>0</v>
      </c>
      <c r="CB25" s="24">
        <f t="shared" si="30"/>
        <v>0</v>
      </c>
      <c r="CC25" s="24">
        <f t="shared" si="30"/>
        <v>0</v>
      </c>
      <c r="CD25" s="24">
        <f t="shared" si="30"/>
        <v>0</v>
      </c>
      <c r="CE25" s="48">
        <f t="shared" si="6"/>
        <v>0.23590329320502262</v>
      </c>
      <c r="CF25" s="49">
        <f t="shared" ref="CF25:CF49" si="31">SUM(CG25:DC25)</f>
        <v>20499995</v>
      </c>
      <c r="CG25" s="49"/>
      <c r="CH25" s="49"/>
      <c r="CI25" s="49"/>
      <c r="CJ25" s="49"/>
      <c r="CK25" s="49"/>
      <c r="CL25" s="49"/>
      <c r="CM25" s="49"/>
      <c r="CN25" s="49">
        <f>+[8]AGOSTO!$H$1257+[2]OCTUBRE!$H$1467</f>
        <v>20499995</v>
      </c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8">
        <f t="shared" si="8"/>
        <v>0.76409670679497732</v>
      </c>
      <c r="DE25" s="24">
        <f t="shared" ref="DE25:DE49" si="32">SUM(DF25:EB25)</f>
        <v>66400000</v>
      </c>
      <c r="DF25" s="24">
        <f t="shared" ref="DF25:DU40" si="33">+J25-CG25</f>
        <v>0</v>
      </c>
      <c r="DG25" s="24">
        <f t="shared" si="33"/>
        <v>0</v>
      </c>
      <c r="DH25" s="24">
        <f t="shared" si="33"/>
        <v>0</v>
      </c>
      <c r="DI25" s="24">
        <f t="shared" si="33"/>
        <v>0</v>
      </c>
      <c r="DJ25" s="24">
        <f t="shared" si="33"/>
        <v>0</v>
      </c>
      <c r="DK25" s="24">
        <f t="shared" si="33"/>
        <v>0</v>
      </c>
      <c r="DL25" s="24">
        <f t="shared" si="33"/>
        <v>0</v>
      </c>
      <c r="DM25" s="24">
        <f t="shared" si="33"/>
        <v>21400000</v>
      </c>
      <c r="DN25" s="24">
        <f t="shared" si="33"/>
        <v>15000000</v>
      </c>
      <c r="DO25" s="24">
        <f t="shared" si="33"/>
        <v>15000000</v>
      </c>
      <c r="DP25" s="24">
        <f t="shared" si="33"/>
        <v>15000000</v>
      </c>
      <c r="DQ25" s="24">
        <f t="shared" si="33"/>
        <v>0</v>
      </c>
      <c r="DR25" s="24">
        <f t="shared" si="33"/>
        <v>0</v>
      </c>
      <c r="DS25" s="24">
        <f t="shared" si="33"/>
        <v>0</v>
      </c>
      <c r="DT25" s="24">
        <f t="shared" si="33"/>
        <v>0</v>
      </c>
      <c r="DU25" s="24">
        <f t="shared" si="33"/>
        <v>0</v>
      </c>
      <c r="DV25" s="24">
        <f t="shared" ref="DV25:EB49" si="34">+Z25-CW25</f>
        <v>0</v>
      </c>
      <c r="DW25" s="24">
        <f t="shared" si="34"/>
        <v>0</v>
      </c>
      <c r="DX25" s="24">
        <f t="shared" si="34"/>
        <v>0</v>
      </c>
      <c r="DY25" s="24">
        <f t="shared" si="34"/>
        <v>0</v>
      </c>
      <c r="DZ25" s="24">
        <f t="shared" si="34"/>
        <v>0</v>
      </c>
      <c r="EA25" s="24">
        <f t="shared" si="34"/>
        <v>0</v>
      </c>
      <c r="EB25" s="24">
        <f t="shared" si="34"/>
        <v>0</v>
      </c>
      <c r="ED25" s="31">
        <f t="shared" si="11"/>
        <v>86899995</v>
      </c>
      <c r="EE25" s="31">
        <f t="shared" si="15"/>
        <v>86899995</v>
      </c>
      <c r="EF25" s="31">
        <f t="shared" si="16"/>
        <v>86899995</v>
      </c>
    </row>
    <row r="26" spans="1:137" ht="25.15" customHeight="1" x14ac:dyDescent="0.25">
      <c r="A26" s="32"/>
      <c r="B26" s="229"/>
      <c r="C26" s="20" t="s">
        <v>104</v>
      </c>
      <c r="D26" s="21" t="s">
        <v>105</v>
      </c>
      <c r="E26" s="22">
        <v>410</v>
      </c>
      <c r="F26" s="23" t="s">
        <v>103</v>
      </c>
      <c r="G26" s="24">
        <f t="shared" si="26"/>
        <v>3000000</v>
      </c>
      <c r="H26" s="25">
        <f>+[7]SI!$F$7</f>
        <v>36000000</v>
      </c>
      <c r="I26" s="25">
        <f t="shared" ref="I26:I49" si="35">+H26-G26</f>
        <v>33000000</v>
      </c>
      <c r="J26" s="24"/>
      <c r="K26" s="24"/>
      <c r="L26" s="24"/>
      <c r="M26" s="24"/>
      <c r="N26" s="24"/>
      <c r="O26" s="24"/>
      <c r="P26" s="24"/>
      <c r="Q26" s="24">
        <f>1000000+2000000</f>
        <v>3000000</v>
      </c>
      <c r="R26" s="47"/>
      <c r="S26" s="47"/>
      <c r="T26" s="47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7">
        <f>35000000-35000000</f>
        <v>0</v>
      </c>
      <c r="AG26" s="27">
        <f t="shared" si="1"/>
        <v>0.66666666666666663</v>
      </c>
      <c r="AH26" s="24">
        <f t="shared" si="27"/>
        <v>2000000</v>
      </c>
      <c r="AI26" s="24"/>
      <c r="AJ26" s="24"/>
      <c r="AK26" s="24"/>
      <c r="AL26" s="24"/>
      <c r="AM26" s="24"/>
      <c r="AN26" s="24"/>
      <c r="AO26" s="24"/>
      <c r="AP26" s="24">
        <f>+[3]SEPTIEMBRE!$Q$1393</f>
        <v>2000000</v>
      </c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7">
        <f t="shared" si="13"/>
        <v>0.33333333333333337</v>
      </c>
      <c r="BG26" s="24">
        <f t="shared" si="28"/>
        <v>1000000</v>
      </c>
      <c r="BH26" s="24">
        <f t="shared" si="29"/>
        <v>0</v>
      </c>
      <c r="BI26" s="24">
        <f t="shared" si="29"/>
        <v>0</v>
      </c>
      <c r="BJ26" s="24">
        <f t="shared" si="29"/>
        <v>0</v>
      </c>
      <c r="BK26" s="24">
        <f t="shared" si="29"/>
        <v>0</v>
      </c>
      <c r="BL26" s="24">
        <f t="shared" si="29"/>
        <v>0</v>
      </c>
      <c r="BM26" s="24">
        <f t="shared" si="29"/>
        <v>0</v>
      </c>
      <c r="BN26" s="24">
        <f t="shared" si="29"/>
        <v>0</v>
      </c>
      <c r="BO26" s="24">
        <f t="shared" si="29"/>
        <v>1000000</v>
      </c>
      <c r="BP26" s="24">
        <f t="shared" si="29"/>
        <v>0</v>
      </c>
      <c r="BQ26" s="24">
        <f t="shared" si="29"/>
        <v>0</v>
      </c>
      <c r="BR26" s="24">
        <f t="shared" si="29"/>
        <v>0</v>
      </c>
      <c r="BS26" s="24">
        <f t="shared" si="29"/>
        <v>0</v>
      </c>
      <c r="BT26" s="24">
        <f t="shared" si="29"/>
        <v>0</v>
      </c>
      <c r="BU26" s="24">
        <f t="shared" si="29"/>
        <v>0</v>
      </c>
      <c r="BV26" s="24">
        <f t="shared" si="29"/>
        <v>0</v>
      </c>
      <c r="BW26" s="24">
        <f t="shared" si="29"/>
        <v>0</v>
      </c>
      <c r="BX26" s="24">
        <f t="shared" si="30"/>
        <v>0</v>
      </c>
      <c r="BY26" s="24">
        <f t="shared" si="30"/>
        <v>0</v>
      </c>
      <c r="BZ26" s="24">
        <f t="shared" si="30"/>
        <v>0</v>
      </c>
      <c r="CA26" s="24">
        <f t="shared" si="30"/>
        <v>0</v>
      </c>
      <c r="CB26" s="24">
        <f t="shared" si="30"/>
        <v>0</v>
      </c>
      <c r="CC26" s="24">
        <f t="shared" si="30"/>
        <v>0</v>
      </c>
      <c r="CD26" s="24">
        <f t="shared" si="30"/>
        <v>0</v>
      </c>
      <c r="CE26" s="27">
        <f t="shared" si="6"/>
        <v>0</v>
      </c>
      <c r="CF26" s="24">
        <f t="shared" si="31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7">
        <f t="shared" si="8"/>
        <v>1</v>
      </c>
      <c r="DE26" s="24">
        <f t="shared" si="32"/>
        <v>3000000</v>
      </c>
      <c r="DF26" s="24">
        <f t="shared" si="33"/>
        <v>0</v>
      </c>
      <c r="DG26" s="24">
        <f t="shared" si="33"/>
        <v>0</v>
      </c>
      <c r="DH26" s="24">
        <f t="shared" si="33"/>
        <v>0</v>
      </c>
      <c r="DI26" s="24">
        <f t="shared" si="33"/>
        <v>0</v>
      </c>
      <c r="DJ26" s="24">
        <f t="shared" si="33"/>
        <v>0</v>
      </c>
      <c r="DK26" s="24">
        <f t="shared" si="33"/>
        <v>0</v>
      </c>
      <c r="DL26" s="24">
        <f t="shared" si="33"/>
        <v>0</v>
      </c>
      <c r="DM26" s="24">
        <f t="shared" si="33"/>
        <v>3000000</v>
      </c>
      <c r="DN26" s="24">
        <f t="shared" si="33"/>
        <v>0</v>
      </c>
      <c r="DO26" s="24">
        <f t="shared" si="33"/>
        <v>0</v>
      </c>
      <c r="DP26" s="24">
        <f t="shared" si="33"/>
        <v>0</v>
      </c>
      <c r="DQ26" s="24">
        <f t="shared" si="33"/>
        <v>0</v>
      </c>
      <c r="DR26" s="24">
        <f t="shared" si="33"/>
        <v>0</v>
      </c>
      <c r="DS26" s="24">
        <f t="shared" si="33"/>
        <v>0</v>
      </c>
      <c r="DT26" s="24">
        <f t="shared" si="33"/>
        <v>0</v>
      </c>
      <c r="DU26" s="24">
        <f t="shared" si="33"/>
        <v>0</v>
      </c>
      <c r="DV26" s="24">
        <f t="shared" si="34"/>
        <v>0</v>
      </c>
      <c r="DW26" s="24">
        <f t="shared" si="34"/>
        <v>0</v>
      </c>
      <c r="DX26" s="24">
        <f t="shared" si="34"/>
        <v>0</v>
      </c>
      <c r="DY26" s="24">
        <f t="shared" si="34"/>
        <v>0</v>
      </c>
      <c r="DZ26" s="24">
        <f t="shared" si="34"/>
        <v>0</v>
      </c>
      <c r="EA26" s="24">
        <f t="shared" si="34"/>
        <v>0</v>
      </c>
      <c r="EB26" s="24">
        <f t="shared" si="34"/>
        <v>0</v>
      </c>
      <c r="ED26" s="31">
        <f t="shared" si="11"/>
        <v>3000000</v>
      </c>
      <c r="EE26" s="31">
        <f t="shared" si="15"/>
        <v>3000000</v>
      </c>
      <c r="EF26" s="31">
        <f t="shared" si="16"/>
        <v>3000000</v>
      </c>
    </row>
    <row r="27" spans="1:137" ht="36" customHeight="1" x14ac:dyDescent="0.25">
      <c r="A27" s="32"/>
      <c r="B27" s="230" t="s">
        <v>106</v>
      </c>
      <c r="C27" s="34" t="s">
        <v>107</v>
      </c>
      <c r="D27" s="35" t="s">
        <v>108</v>
      </c>
      <c r="E27" s="22">
        <v>410</v>
      </c>
      <c r="F27" s="23" t="s">
        <v>109</v>
      </c>
      <c r="G27" s="24">
        <f t="shared" si="26"/>
        <v>225167015</v>
      </c>
      <c r="H27" s="25">
        <f>+[7]SI!$F13</f>
        <v>215800000</v>
      </c>
      <c r="I27" s="25">
        <f t="shared" si="35"/>
        <v>-9367015</v>
      </c>
      <c r="J27" s="24"/>
      <c r="K27" s="24"/>
      <c r="L27" s="24"/>
      <c r="M27" s="24"/>
      <c r="N27" s="24"/>
      <c r="O27" s="24"/>
      <c r="P27" s="24"/>
      <c r="Q27" s="24">
        <f>61000000+28232274-50000000</f>
        <v>39232274</v>
      </c>
      <c r="R27" s="24">
        <f>20000000-5000000</f>
        <v>15000000</v>
      </c>
      <c r="S27" s="24">
        <f>40000000-20000000</f>
        <v>20000000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</f>
        <v>63953508</v>
      </c>
      <c r="AG27" s="27">
        <f t="shared" si="1"/>
        <v>0.81687903088292035</v>
      </c>
      <c r="AH27" s="24">
        <f t="shared" si="27"/>
        <v>183934213</v>
      </c>
      <c r="AI27" s="24"/>
      <c r="AJ27" s="24"/>
      <c r="AK27" s="24"/>
      <c r="AL27" s="24"/>
      <c r="AM27" s="24"/>
      <c r="AN27" s="24"/>
      <c r="AO27" s="24"/>
      <c r="AP27" s="24">
        <f>+[3]SEPTIEMBRE!$Q$1402</f>
        <v>39232274</v>
      </c>
      <c r="AQ27" s="24">
        <f>+[3]SEPTIEMBRE!$R$1402</f>
        <v>15000000</v>
      </c>
      <c r="AR27" s="24">
        <f>+[3]SEPTIEMBRE!$S$1402</f>
        <v>20000000</v>
      </c>
      <c r="AS27" s="24">
        <f>+[3]SEPTIEMBRE!$T$1402</f>
        <v>45134741</v>
      </c>
      <c r="AT27" s="24"/>
      <c r="AU27" s="24"/>
      <c r="AV27" s="24"/>
      <c r="AW27" s="24"/>
      <c r="AX27" s="24"/>
      <c r="AY27" s="24"/>
      <c r="AZ27" s="24"/>
      <c r="BA27" s="24">
        <f>+'[9]ENERO 2020'!$AB$1196</f>
        <v>41846492</v>
      </c>
      <c r="BB27" s="24"/>
      <c r="BC27" s="24"/>
      <c r="BD27" s="24"/>
      <c r="BE27" s="24">
        <f>+[2]OCTUBRE!$AG$1485</f>
        <v>22720706</v>
      </c>
      <c r="BF27" s="27">
        <f t="shared" si="13"/>
        <v>0.18312096911707965</v>
      </c>
      <c r="BG27" s="24">
        <f t="shared" si="28"/>
        <v>41232802</v>
      </c>
      <c r="BH27" s="24">
        <f t="shared" si="29"/>
        <v>0</v>
      </c>
      <c r="BI27" s="24">
        <f t="shared" si="29"/>
        <v>0</v>
      </c>
      <c r="BJ27" s="24">
        <f t="shared" si="29"/>
        <v>0</v>
      </c>
      <c r="BK27" s="24">
        <f t="shared" si="29"/>
        <v>0</v>
      </c>
      <c r="BL27" s="24">
        <f t="shared" si="29"/>
        <v>0</v>
      </c>
      <c r="BM27" s="24">
        <f t="shared" si="29"/>
        <v>0</v>
      </c>
      <c r="BN27" s="24">
        <f t="shared" si="29"/>
        <v>0</v>
      </c>
      <c r="BO27" s="24">
        <f t="shared" si="29"/>
        <v>0</v>
      </c>
      <c r="BP27" s="24">
        <f t="shared" si="29"/>
        <v>0</v>
      </c>
      <c r="BQ27" s="24">
        <f t="shared" si="29"/>
        <v>0</v>
      </c>
      <c r="BR27" s="24">
        <f t="shared" si="29"/>
        <v>0</v>
      </c>
      <c r="BS27" s="24">
        <f t="shared" si="29"/>
        <v>0</v>
      </c>
      <c r="BT27" s="24">
        <f t="shared" si="29"/>
        <v>0</v>
      </c>
      <c r="BU27" s="24">
        <f t="shared" si="29"/>
        <v>0</v>
      </c>
      <c r="BV27" s="24">
        <f t="shared" si="29"/>
        <v>0</v>
      </c>
      <c r="BW27" s="24">
        <f t="shared" si="29"/>
        <v>0</v>
      </c>
      <c r="BX27" s="24">
        <f t="shared" si="30"/>
        <v>0</v>
      </c>
      <c r="BY27" s="24">
        <f t="shared" si="30"/>
        <v>0</v>
      </c>
      <c r="BZ27" s="24">
        <f t="shared" si="30"/>
        <v>0</v>
      </c>
      <c r="CA27" s="24">
        <f t="shared" si="30"/>
        <v>0</v>
      </c>
      <c r="CB27" s="24">
        <f t="shared" si="30"/>
        <v>0</v>
      </c>
      <c r="CC27" s="24">
        <f t="shared" si="30"/>
        <v>0</v>
      </c>
      <c r="CD27" s="24">
        <f t="shared" si="30"/>
        <v>41232802</v>
      </c>
      <c r="CE27" s="27">
        <f t="shared" si="6"/>
        <v>0.11296199401142303</v>
      </c>
      <c r="CF27" s="24">
        <f t="shared" si="31"/>
        <v>25435315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>
        <f>+[3]SEPTIEMBRE!$H$1428</f>
        <v>1056000</v>
      </c>
      <c r="CQ27" s="24"/>
      <c r="CR27" s="24"/>
      <c r="CS27" s="24"/>
      <c r="CT27" s="24"/>
      <c r="CU27" s="24"/>
      <c r="CV27" s="24"/>
      <c r="CW27" s="24"/>
      <c r="CX27" s="24"/>
      <c r="CY27" s="24">
        <f>+[2]OCTUBRE!$H$1486</f>
        <v>10830500</v>
      </c>
      <c r="CZ27" s="24"/>
      <c r="DA27" s="24"/>
      <c r="DB27" s="24"/>
      <c r="DC27" s="24">
        <f>+[2]OCTUBRE!$H$1503+[2]OCTUBRE!$H$1509</f>
        <v>13548815</v>
      </c>
      <c r="DD27" s="27">
        <f t="shared" si="8"/>
        <v>0.88703800598857696</v>
      </c>
      <c r="DE27" s="24">
        <f t="shared" si="32"/>
        <v>199731700</v>
      </c>
      <c r="DF27" s="24">
        <f t="shared" si="33"/>
        <v>0</v>
      </c>
      <c r="DG27" s="24">
        <f t="shared" si="33"/>
        <v>0</v>
      </c>
      <c r="DH27" s="24">
        <f t="shared" si="33"/>
        <v>0</v>
      </c>
      <c r="DI27" s="24">
        <f t="shared" si="33"/>
        <v>0</v>
      </c>
      <c r="DJ27" s="24">
        <f t="shared" si="33"/>
        <v>0</v>
      </c>
      <c r="DK27" s="24">
        <f t="shared" si="33"/>
        <v>0</v>
      </c>
      <c r="DL27" s="24">
        <f t="shared" si="33"/>
        <v>0</v>
      </c>
      <c r="DM27" s="24">
        <f t="shared" si="33"/>
        <v>39232274</v>
      </c>
      <c r="DN27" s="24">
        <f t="shared" si="33"/>
        <v>15000000</v>
      </c>
      <c r="DO27" s="24">
        <f t="shared" si="33"/>
        <v>18944000</v>
      </c>
      <c r="DP27" s="24">
        <f t="shared" si="33"/>
        <v>45134741</v>
      </c>
      <c r="DQ27" s="24">
        <f t="shared" si="33"/>
        <v>0</v>
      </c>
      <c r="DR27" s="24">
        <f t="shared" si="33"/>
        <v>0</v>
      </c>
      <c r="DS27" s="24">
        <f t="shared" si="33"/>
        <v>0</v>
      </c>
      <c r="DT27" s="24">
        <f t="shared" si="33"/>
        <v>0</v>
      </c>
      <c r="DU27" s="24">
        <f t="shared" si="33"/>
        <v>0</v>
      </c>
      <c r="DV27" s="24">
        <f t="shared" si="34"/>
        <v>0</v>
      </c>
      <c r="DW27" s="24">
        <f t="shared" si="34"/>
        <v>0</v>
      </c>
      <c r="DX27" s="24">
        <f t="shared" si="34"/>
        <v>31015992</v>
      </c>
      <c r="DY27" s="24">
        <f t="shared" si="34"/>
        <v>0</v>
      </c>
      <c r="DZ27" s="24">
        <f t="shared" si="34"/>
        <v>0</v>
      </c>
      <c r="EA27" s="24">
        <f t="shared" si="34"/>
        <v>0</v>
      </c>
      <c r="EB27" s="24">
        <f t="shared" si="34"/>
        <v>50404693</v>
      </c>
      <c r="ED27" s="31">
        <f t="shared" si="11"/>
        <v>225167015</v>
      </c>
      <c r="EE27" s="31">
        <f t="shared" si="15"/>
        <v>225167015</v>
      </c>
      <c r="EF27" s="31">
        <f t="shared" si="16"/>
        <v>225167015</v>
      </c>
    </row>
    <row r="28" spans="1:137" ht="18" customHeight="1" x14ac:dyDescent="0.25">
      <c r="A28" s="32"/>
      <c r="B28" s="230"/>
      <c r="C28" s="20" t="s">
        <v>110</v>
      </c>
      <c r="D28" s="35" t="s">
        <v>111</v>
      </c>
      <c r="E28" s="22">
        <v>410</v>
      </c>
      <c r="F28" s="23" t="s">
        <v>112</v>
      </c>
      <c r="G28" s="24">
        <f t="shared" si="26"/>
        <v>8487690</v>
      </c>
      <c r="H28" s="25">
        <f>+[7]SI!$F14</f>
        <v>41500000</v>
      </c>
      <c r="I28" s="25">
        <f t="shared" si="35"/>
        <v>33012310</v>
      </c>
      <c r="J28" s="24"/>
      <c r="K28" s="24"/>
      <c r="L28" s="24"/>
      <c r="M28" s="24"/>
      <c r="N28" s="24"/>
      <c r="O28" s="24"/>
      <c r="P28" s="24"/>
      <c r="Q28" s="24">
        <f>31500000+10000000-12728640-20283670</f>
        <v>8487690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7">
        <f t="shared" si="1"/>
        <v>1</v>
      </c>
      <c r="AH28" s="24">
        <f t="shared" si="27"/>
        <v>8487690</v>
      </c>
      <c r="AI28" s="24"/>
      <c r="AJ28" s="24"/>
      <c r="AK28" s="24"/>
      <c r="AL28" s="24"/>
      <c r="AM28" s="24"/>
      <c r="AN28" s="24"/>
      <c r="AO28" s="24"/>
      <c r="AP28" s="24">
        <f>+[3]SEPTIEMBRE!$G$1435</f>
        <v>8487690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3"/>
        <v>0</v>
      </c>
      <c r="BG28" s="24">
        <f t="shared" si="28"/>
        <v>0</v>
      </c>
      <c r="BH28" s="24">
        <f t="shared" si="29"/>
        <v>0</v>
      </c>
      <c r="BI28" s="24">
        <f t="shared" si="29"/>
        <v>0</v>
      </c>
      <c r="BJ28" s="24">
        <f t="shared" si="29"/>
        <v>0</v>
      </c>
      <c r="BK28" s="24">
        <f t="shared" si="29"/>
        <v>0</v>
      </c>
      <c r="BL28" s="24">
        <f t="shared" si="29"/>
        <v>0</v>
      </c>
      <c r="BM28" s="24">
        <f t="shared" si="29"/>
        <v>0</v>
      </c>
      <c r="BN28" s="24">
        <f t="shared" si="29"/>
        <v>0</v>
      </c>
      <c r="BO28" s="24">
        <f t="shared" si="29"/>
        <v>0</v>
      </c>
      <c r="BP28" s="24">
        <f t="shared" si="29"/>
        <v>0</v>
      </c>
      <c r="BQ28" s="24">
        <f t="shared" si="29"/>
        <v>0</v>
      </c>
      <c r="BR28" s="24">
        <f t="shared" si="29"/>
        <v>0</v>
      </c>
      <c r="BS28" s="24">
        <f t="shared" si="29"/>
        <v>0</v>
      </c>
      <c r="BT28" s="24">
        <f t="shared" si="29"/>
        <v>0</v>
      </c>
      <c r="BU28" s="24">
        <f t="shared" si="29"/>
        <v>0</v>
      </c>
      <c r="BV28" s="24">
        <f t="shared" si="29"/>
        <v>0</v>
      </c>
      <c r="BW28" s="24">
        <f t="shared" si="29"/>
        <v>0</v>
      </c>
      <c r="BX28" s="24">
        <f t="shared" si="30"/>
        <v>0</v>
      </c>
      <c r="BY28" s="24">
        <f t="shared" si="30"/>
        <v>0</v>
      </c>
      <c r="BZ28" s="24">
        <f t="shared" si="30"/>
        <v>0</v>
      </c>
      <c r="CA28" s="24">
        <f t="shared" si="30"/>
        <v>0</v>
      </c>
      <c r="CB28" s="24">
        <f t="shared" si="30"/>
        <v>0</v>
      </c>
      <c r="CC28" s="24">
        <f t="shared" si="30"/>
        <v>0</v>
      </c>
      <c r="CD28" s="24">
        <f t="shared" si="30"/>
        <v>0</v>
      </c>
      <c r="CE28" s="27">
        <f t="shared" si="6"/>
        <v>0.37436569903000699</v>
      </c>
      <c r="CF28" s="24">
        <f t="shared" si="31"/>
        <v>3177500</v>
      </c>
      <c r="CG28" s="24"/>
      <c r="CH28" s="24"/>
      <c r="CI28" s="24"/>
      <c r="CJ28" s="24"/>
      <c r="CK28" s="24"/>
      <c r="CL28" s="24"/>
      <c r="CM28" s="24"/>
      <c r="CN28" s="24">
        <f>+[8]AGOSTO!$H$1314+[2]OCTUBRE!$H$1536</f>
        <v>3177500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0.62563430096999295</v>
      </c>
      <c r="DE28" s="24">
        <f t="shared" si="32"/>
        <v>5310190</v>
      </c>
      <c r="DF28" s="24">
        <f t="shared" si="33"/>
        <v>0</v>
      </c>
      <c r="DG28" s="24">
        <f t="shared" si="33"/>
        <v>0</v>
      </c>
      <c r="DH28" s="24">
        <f t="shared" si="33"/>
        <v>0</v>
      </c>
      <c r="DI28" s="24">
        <f t="shared" si="33"/>
        <v>0</v>
      </c>
      <c r="DJ28" s="24">
        <f t="shared" si="33"/>
        <v>0</v>
      </c>
      <c r="DK28" s="24">
        <f t="shared" si="33"/>
        <v>0</v>
      </c>
      <c r="DL28" s="24">
        <f t="shared" si="33"/>
        <v>0</v>
      </c>
      <c r="DM28" s="24">
        <f t="shared" si="33"/>
        <v>5310190</v>
      </c>
      <c r="DN28" s="24">
        <f t="shared" si="33"/>
        <v>0</v>
      </c>
      <c r="DO28" s="24">
        <f t="shared" si="33"/>
        <v>0</v>
      </c>
      <c r="DP28" s="24">
        <f t="shared" si="33"/>
        <v>0</v>
      </c>
      <c r="DQ28" s="24">
        <f t="shared" si="33"/>
        <v>0</v>
      </c>
      <c r="DR28" s="24">
        <f t="shared" si="33"/>
        <v>0</v>
      </c>
      <c r="DS28" s="24">
        <f t="shared" si="33"/>
        <v>0</v>
      </c>
      <c r="DT28" s="24">
        <f t="shared" si="33"/>
        <v>0</v>
      </c>
      <c r="DU28" s="24">
        <f t="shared" si="33"/>
        <v>0</v>
      </c>
      <c r="DV28" s="24">
        <f t="shared" si="34"/>
        <v>0</v>
      </c>
      <c r="DW28" s="24">
        <f t="shared" si="34"/>
        <v>0</v>
      </c>
      <c r="DX28" s="24">
        <f t="shared" si="34"/>
        <v>0</v>
      </c>
      <c r="DY28" s="24">
        <f t="shared" si="34"/>
        <v>0</v>
      </c>
      <c r="DZ28" s="24">
        <f t="shared" si="34"/>
        <v>0</v>
      </c>
      <c r="EA28" s="24">
        <f t="shared" si="34"/>
        <v>0</v>
      </c>
      <c r="EB28" s="24">
        <f t="shared" si="34"/>
        <v>0</v>
      </c>
      <c r="ED28" s="31">
        <f t="shared" si="11"/>
        <v>8487690</v>
      </c>
      <c r="EE28" s="31">
        <f t="shared" si="15"/>
        <v>8487690</v>
      </c>
      <c r="EF28" s="31">
        <f t="shared" si="16"/>
        <v>8487690</v>
      </c>
    </row>
    <row r="29" spans="1:137" ht="19.149999999999999" customHeight="1" x14ac:dyDescent="0.25">
      <c r="A29" s="32"/>
      <c r="B29" s="230"/>
      <c r="C29" s="20" t="s">
        <v>113</v>
      </c>
      <c r="D29" s="35" t="s">
        <v>114</v>
      </c>
      <c r="E29" s="22">
        <v>410</v>
      </c>
      <c r="F29" s="23" t="s">
        <v>112</v>
      </c>
      <c r="G29" s="24">
        <f t="shared" si="26"/>
        <v>654979830</v>
      </c>
      <c r="H29" s="25">
        <f>+[7]SI!$F15</f>
        <v>996000000</v>
      </c>
      <c r="I29" s="25">
        <f t="shared" si="35"/>
        <v>341020170</v>
      </c>
      <c r="J29" s="24"/>
      <c r="K29" s="24"/>
      <c r="L29" s="24"/>
      <c r="M29" s="24"/>
      <c r="N29" s="24"/>
      <c r="O29" s="24"/>
      <c r="P29" s="24"/>
      <c r="Q29" s="24">
        <f>896000000+20000000+16846492+40000000-381020170</f>
        <v>591826322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7">
        <f t="shared" si="1"/>
        <v>0.88547203354338411</v>
      </c>
      <c r="AH29" s="24">
        <f t="shared" si="27"/>
        <v>579966322</v>
      </c>
      <c r="AI29" s="24"/>
      <c r="AJ29" s="24"/>
      <c r="AK29" s="24"/>
      <c r="AL29" s="24"/>
      <c r="AM29" s="24"/>
      <c r="AN29" s="24"/>
      <c r="AO29" s="24"/>
      <c r="AP29" s="24">
        <f>+[4]JULIO!$Q$1247</f>
        <v>541326322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+[8]AGOSTO!$AB$1338</f>
        <v>38640000</v>
      </c>
      <c r="BB29" s="24"/>
      <c r="BC29" s="24"/>
      <c r="BD29" s="24"/>
      <c r="BE29" s="24"/>
      <c r="BF29" s="27">
        <f t="shared" si="13"/>
        <v>0.11452796645661589</v>
      </c>
      <c r="BG29" s="24">
        <f t="shared" si="28"/>
        <v>75013508</v>
      </c>
      <c r="BH29" s="24">
        <f t="shared" si="29"/>
        <v>0</v>
      </c>
      <c r="BI29" s="24">
        <f t="shared" si="29"/>
        <v>0</v>
      </c>
      <c r="BJ29" s="24">
        <f t="shared" si="29"/>
        <v>0</v>
      </c>
      <c r="BK29" s="24">
        <f t="shared" si="29"/>
        <v>0</v>
      </c>
      <c r="BL29" s="24">
        <f t="shared" si="29"/>
        <v>0</v>
      </c>
      <c r="BM29" s="24">
        <f t="shared" si="29"/>
        <v>0</v>
      </c>
      <c r="BN29" s="24">
        <f t="shared" si="29"/>
        <v>0</v>
      </c>
      <c r="BO29" s="24">
        <f t="shared" si="29"/>
        <v>50500000</v>
      </c>
      <c r="BP29" s="24">
        <f t="shared" si="29"/>
        <v>0</v>
      </c>
      <c r="BQ29" s="24">
        <f t="shared" si="29"/>
        <v>0</v>
      </c>
      <c r="BR29" s="24">
        <f t="shared" si="29"/>
        <v>0</v>
      </c>
      <c r="BS29" s="24">
        <f t="shared" si="29"/>
        <v>0</v>
      </c>
      <c r="BT29" s="24">
        <f t="shared" si="29"/>
        <v>0</v>
      </c>
      <c r="BU29" s="24">
        <f t="shared" si="29"/>
        <v>0</v>
      </c>
      <c r="BV29" s="24">
        <f t="shared" si="29"/>
        <v>0</v>
      </c>
      <c r="BW29" s="24">
        <f t="shared" si="29"/>
        <v>0</v>
      </c>
      <c r="BX29" s="24">
        <f t="shared" si="30"/>
        <v>0</v>
      </c>
      <c r="BY29" s="24">
        <f t="shared" si="30"/>
        <v>0</v>
      </c>
      <c r="BZ29" s="24">
        <f t="shared" si="30"/>
        <v>24513508</v>
      </c>
      <c r="CA29" s="24">
        <f t="shared" si="30"/>
        <v>0</v>
      </c>
      <c r="CB29" s="24">
        <f t="shared" si="30"/>
        <v>0</v>
      </c>
      <c r="CC29" s="24">
        <f t="shared" si="30"/>
        <v>0</v>
      </c>
      <c r="CD29" s="24">
        <f t="shared" si="30"/>
        <v>0</v>
      </c>
      <c r="CE29" s="27">
        <f t="shared" si="6"/>
        <v>0.34173059497114588</v>
      </c>
      <c r="CF29" s="24">
        <f t="shared" si="31"/>
        <v>223826647</v>
      </c>
      <c r="CG29" s="24"/>
      <c r="CH29" s="24"/>
      <c r="CI29" s="24"/>
      <c r="CJ29" s="24"/>
      <c r="CK29" s="24"/>
      <c r="CL29" s="24"/>
      <c r="CM29" s="24"/>
      <c r="CN29" s="24">
        <f>+[2]OCTUBRE!$H$1556</f>
        <v>185186654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+[2]OCTUBRE!$H$1550+[2]OCTUBRE!$H$1660</f>
        <v>38639993</v>
      </c>
      <c r="CZ29" s="24"/>
      <c r="DA29" s="24"/>
      <c r="DB29" s="24"/>
      <c r="DC29" s="24"/>
      <c r="DD29" s="27">
        <f t="shared" si="8"/>
        <v>0.65826940502885412</v>
      </c>
      <c r="DE29" s="24">
        <f t="shared" si="32"/>
        <v>431153183</v>
      </c>
      <c r="DF29" s="24">
        <f t="shared" si="33"/>
        <v>0</v>
      </c>
      <c r="DG29" s="24">
        <f t="shared" si="33"/>
        <v>0</v>
      </c>
      <c r="DH29" s="24">
        <f t="shared" si="33"/>
        <v>0</v>
      </c>
      <c r="DI29" s="24">
        <f t="shared" si="33"/>
        <v>0</v>
      </c>
      <c r="DJ29" s="24">
        <f t="shared" si="33"/>
        <v>0</v>
      </c>
      <c r="DK29" s="24">
        <f t="shared" si="33"/>
        <v>0</v>
      </c>
      <c r="DL29" s="24">
        <f t="shared" si="33"/>
        <v>0</v>
      </c>
      <c r="DM29" s="24">
        <f t="shared" si="33"/>
        <v>406639668</v>
      </c>
      <c r="DN29" s="24">
        <f t="shared" si="33"/>
        <v>0</v>
      </c>
      <c r="DO29" s="24">
        <f t="shared" si="33"/>
        <v>0</v>
      </c>
      <c r="DP29" s="24">
        <f t="shared" si="33"/>
        <v>0</v>
      </c>
      <c r="DQ29" s="24">
        <f t="shared" si="33"/>
        <v>0</v>
      </c>
      <c r="DR29" s="24">
        <f t="shared" si="33"/>
        <v>0</v>
      </c>
      <c r="DS29" s="24">
        <f t="shared" si="33"/>
        <v>0</v>
      </c>
      <c r="DT29" s="24">
        <f t="shared" si="33"/>
        <v>0</v>
      </c>
      <c r="DU29" s="24">
        <f t="shared" si="33"/>
        <v>0</v>
      </c>
      <c r="DV29" s="24">
        <f t="shared" si="34"/>
        <v>0</v>
      </c>
      <c r="DW29" s="24">
        <f t="shared" si="34"/>
        <v>0</v>
      </c>
      <c r="DX29" s="24">
        <f t="shared" si="34"/>
        <v>24513515</v>
      </c>
      <c r="DY29" s="24">
        <f t="shared" si="34"/>
        <v>0</v>
      </c>
      <c r="DZ29" s="24">
        <f t="shared" si="34"/>
        <v>0</v>
      </c>
      <c r="EA29" s="24">
        <f t="shared" si="34"/>
        <v>0</v>
      </c>
      <c r="EB29" s="24">
        <f t="shared" si="34"/>
        <v>0</v>
      </c>
      <c r="ED29" s="31">
        <f t="shared" si="11"/>
        <v>654979830</v>
      </c>
      <c r="EE29" s="31">
        <f t="shared" si="15"/>
        <v>654979830</v>
      </c>
      <c r="EF29" s="31">
        <f t="shared" si="16"/>
        <v>654979830</v>
      </c>
    </row>
    <row r="30" spans="1:137" ht="21" customHeight="1" x14ac:dyDescent="0.25">
      <c r="A30" s="32"/>
      <c r="B30" s="230"/>
      <c r="C30" s="20" t="s">
        <v>115</v>
      </c>
      <c r="D30" s="35" t="s">
        <v>116</v>
      </c>
      <c r="E30" s="22">
        <v>410</v>
      </c>
      <c r="F30" s="23" t="s">
        <v>117</v>
      </c>
      <c r="G30" s="24">
        <f t="shared" si="26"/>
        <v>310157093</v>
      </c>
      <c r="H30" s="25">
        <f>+[7]SI!$F16</f>
        <v>597600000</v>
      </c>
      <c r="I30" s="25">
        <f t="shared" si="35"/>
        <v>287442907</v>
      </c>
      <c r="J30" s="24"/>
      <c r="K30" s="24"/>
      <c r="L30" s="24"/>
      <c r="M30" s="24"/>
      <c r="N30" s="24"/>
      <c r="O30" s="24"/>
      <c r="P30" s="24"/>
      <c r="Q30" s="24">
        <f>517600000+20000000-287442907</f>
        <v>250157093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7">
        <f t="shared" si="1"/>
        <v>0.90730503783771277</v>
      </c>
      <c r="AH30" s="24">
        <f t="shared" si="27"/>
        <v>281407093</v>
      </c>
      <c r="AI30" s="24"/>
      <c r="AJ30" s="24"/>
      <c r="AK30" s="24"/>
      <c r="AL30" s="24"/>
      <c r="AM30" s="24"/>
      <c r="AN30" s="24"/>
      <c r="AO30" s="24"/>
      <c r="AP30" s="24">
        <f>+[4]JULIO!$Q$1336</f>
        <v>248957093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+[8]AGOSTO!$AB$1434</f>
        <v>32450000</v>
      </c>
      <c r="BB30" s="24"/>
      <c r="BC30" s="24"/>
      <c r="BD30" s="24"/>
      <c r="BE30" s="24"/>
      <c r="BF30" s="27">
        <f t="shared" si="13"/>
        <v>9.2694962162287231E-2</v>
      </c>
      <c r="BG30" s="24">
        <f t="shared" si="28"/>
        <v>28750000</v>
      </c>
      <c r="BH30" s="24">
        <f t="shared" si="29"/>
        <v>0</v>
      </c>
      <c r="BI30" s="24">
        <f t="shared" si="29"/>
        <v>0</v>
      </c>
      <c r="BJ30" s="24">
        <f t="shared" si="29"/>
        <v>0</v>
      </c>
      <c r="BK30" s="24">
        <f t="shared" si="29"/>
        <v>0</v>
      </c>
      <c r="BL30" s="24">
        <f t="shared" si="29"/>
        <v>0</v>
      </c>
      <c r="BM30" s="24">
        <f t="shared" si="29"/>
        <v>0</v>
      </c>
      <c r="BN30" s="24">
        <f t="shared" si="29"/>
        <v>0</v>
      </c>
      <c r="BO30" s="24">
        <f t="shared" si="29"/>
        <v>1200000</v>
      </c>
      <c r="BP30" s="24">
        <f t="shared" si="29"/>
        <v>0</v>
      </c>
      <c r="BQ30" s="24">
        <f t="shared" si="29"/>
        <v>0</v>
      </c>
      <c r="BR30" s="24">
        <f t="shared" si="29"/>
        <v>0</v>
      </c>
      <c r="BS30" s="24">
        <f t="shared" si="29"/>
        <v>0</v>
      </c>
      <c r="BT30" s="24">
        <f t="shared" si="29"/>
        <v>0</v>
      </c>
      <c r="BU30" s="24">
        <f t="shared" si="29"/>
        <v>0</v>
      </c>
      <c r="BV30" s="24">
        <f t="shared" si="29"/>
        <v>0</v>
      </c>
      <c r="BW30" s="24">
        <f t="shared" si="29"/>
        <v>0</v>
      </c>
      <c r="BX30" s="24">
        <f t="shared" si="30"/>
        <v>0</v>
      </c>
      <c r="BY30" s="24">
        <f t="shared" si="30"/>
        <v>0</v>
      </c>
      <c r="BZ30" s="24">
        <f t="shared" si="30"/>
        <v>27550000</v>
      </c>
      <c r="CA30" s="24">
        <f t="shared" si="30"/>
        <v>0</v>
      </c>
      <c r="CB30" s="24">
        <f t="shared" si="30"/>
        <v>0</v>
      </c>
      <c r="CC30" s="24">
        <f t="shared" si="30"/>
        <v>0</v>
      </c>
      <c r="CD30" s="24">
        <f t="shared" si="30"/>
        <v>0</v>
      </c>
      <c r="CE30" s="27">
        <f t="shared" si="6"/>
        <v>0.38913567583637365</v>
      </c>
      <c r="CF30" s="24">
        <f t="shared" si="31"/>
        <v>120693190</v>
      </c>
      <c r="CG30" s="24"/>
      <c r="CH30" s="24"/>
      <c r="CI30" s="24"/>
      <c r="CJ30" s="24"/>
      <c r="CK30" s="24"/>
      <c r="CL30" s="24"/>
      <c r="CM30" s="24"/>
      <c r="CN30" s="24">
        <f>+[2]OCTUBRE!$H$1666</f>
        <v>88243190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+[2]OCTUBRE!$H$1708+[2]OCTUBRE!$H$1716</f>
        <v>32450000</v>
      </c>
      <c r="CZ30" s="24"/>
      <c r="DA30" s="24"/>
      <c r="DB30" s="24"/>
      <c r="DC30" s="24"/>
      <c r="DD30" s="27">
        <f t="shared" si="8"/>
        <v>0.61086432416362635</v>
      </c>
      <c r="DE30" s="24">
        <f t="shared" si="32"/>
        <v>189463903</v>
      </c>
      <c r="DF30" s="24">
        <f t="shared" si="33"/>
        <v>0</v>
      </c>
      <c r="DG30" s="24">
        <f t="shared" si="33"/>
        <v>0</v>
      </c>
      <c r="DH30" s="24">
        <f t="shared" si="33"/>
        <v>0</v>
      </c>
      <c r="DI30" s="24">
        <f t="shared" si="33"/>
        <v>0</v>
      </c>
      <c r="DJ30" s="24">
        <f t="shared" si="33"/>
        <v>0</v>
      </c>
      <c r="DK30" s="24">
        <f t="shared" si="33"/>
        <v>0</v>
      </c>
      <c r="DL30" s="24">
        <f t="shared" si="33"/>
        <v>0</v>
      </c>
      <c r="DM30" s="24">
        <f t="shared" si="33"/>
        <v>161913903</v>
      </c>
      <c r="DN30" s="24">
        <f t="shared" si="33"/>
        <v>0</v>
      </c>
      <c r="DO30" s="24">
        <f t="shared" si="33"/>
        <v>0</v>
      </c>
      <c r="DP30" s="24">
        <f t="shared" si="33"/>
        <v>0</v>
      </c>
      <c r="DQ30" s="24">
        <f t="shared" si="33"/>
        <v>0</v>
      </c>
      <c r="DR30" s="24">
        <f t="shared" si="33"/>
        <v>0</v>
      </c>
      <c r="DS30" s="24">
        <f t="shared" si="33"/>
        <v>0</v>
      </c>
      <c r="DT30" s="24">
        <f t="shared" si="33"/>
        <v>0</v>
      </c>
      <c r="DU30" s="24">
        <f t="shared" si="33"/>
        <v>0</v>
      </c>
      <c r="DV30" s="24">
        <f t="shared" si="34"/>
        <v>0</v>
      </c>
      <c r="DW30" s="24">
        <f t="shared" si="34"/>
        <v>0</v>
      </c>
      <c r="DX30" s="24">
        <f t="shared" si="34"/>
        <v>27550000</v>
      </c>
      <c r="DY30" s="24">
        <f t="shared" si="34"/>
        <v>0</v>
      </c>
      <c r="DZ30" s="24">
        <f t="shared" si="34"/>
        <v>0</v>
      </c>
      <c r="EA30" s="24">
        <f t="shared" si="34"/>
        <v>0</v>
      </c>
      <c r="EB30" s="24">
        <f t="shared" si="34"/>
        <v>0</v>
      </c>
      <c r="ED30" s="31">
        <f t="shared" si="11"/>
        <v>310157093</v>
      </c>
      <c r="EE30" s="31">
        <f t="shared" si="15"/>
        <v>310157093</v>
      </c>
      <c r="EF30" s="31">
        <f t="shared" si="16"/>
        <v>310157093</v>
      </c>
    </row>
    <row r="31" spans="1:137" ht="21" customHeight="1" x14ac:dyDescent="0.25">
      <c r="A31" s="32"/>
      <c r="B31" s="230"/>
      <c r="C31" s="20" t="s">
        <v>118</v>
      </c>
      <c r="D31" s="35" t="s">
        <v>119</v>
      </c>
      <c r="E31" s="22">
        <v>410</v>
      </c>
      <c r="F31" s="23" t="s">
        <v>117</v>
      </c>
      <c r="G31" s="24">
        <f t="shared" si="26"/>
        <v>20000000</v>
      </c>
      <c r="H31" s="25">
        <f>+[7]SI!$F17</f>
        <v>500000000</v>
      </c>
      <c r="I31" s="25">
        <f t="shared" si="35"/>
        <v>480000000</v>
      </c>
      <c r="J31" s="24"/>
      <c r="K31" s="24"/>
      <c r="L31" s="24"/>
      <c r="M31" s="24"/>
      <c r="N31" s="24"/>
      <c r="O31" s="24"/>
      <c r="P31" s="24"/>
      <c r="Q31" s="24">
        <f>469045108+10000000-168708555-290336553</f>
        <v>20000000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f>20000000-20000000</f>
        <v>0</v>
      </c>
      <c r="AC31" s="24"/>
      <c r="AD31" s="24"/>
      <c r="AE31" s="24"/>
      <c r="AF31" s="24"/>
      <c r="AG31" s="27">
        <f t="shared" si="1"/>
        <v>0</v>
      </c>
      <c r="AH31" s="24">
        <f t="shared" si="27"/>
        <v>0</v>
      </c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3"/>
        <v>1</v>
      </c>
      <c r="BG31" s="24">
        <f t="shared" si="28"/>
        <v>20000000</v>
      </c>
      <c r="BH31" s="24">
        <f t="shared" si="29"/>
        <v>0</v>
      </c>
      <c r="BI31" s="24">
        <f t="shared" si="29"/>
        <v>0</v>
      </c>
      <c r="BJ31" s="24">
        <f t="shared" si="29"/>
        <v>0</v>
      </c>
      <c r="BK31" s="24">
        <f t="shared" si="29"/>
        <v>0</v>
      </c>
      <c r="BL31" s="24">
        <f t="shared" si="29"/>
        <v>0</v>
      </c>
      <c r="BM31" s="24">
        <f t="shared" si="29"/>
        <v>0</v>
      </c>
      <c r="BN31" s="24">
        <f t="shared" si="29"/>
        <v>0</v>
      </c>
      <c r="BO31" s="24">
        <f t="shared" si="29"/>
        <v>20000000</v>
      </c>
      <c r="BP31" s="24">
        <f t="shared" si="29"/>
        <v>0</v>
      </c>
      <c r="BQ31" s="24">
        <f t="shared" si="29"/>
        <v>0</v>
      </c>
      <c r="BR31" s="24">
        <f t="shared" si="29"/>
        <v>0</v>
      </c>
      <c r="BS31" s="24">
        <f t="shared" si="29"/>
        <v>0</v>
      </c>
      <c r="BT31" s="24">
        <f t="shared" si="29"/>
        <v>0</v>
      </c>
      <c r="BU31" s="24">
        <f t="shared" si="29"/>
        <v>0</v>
      </c>
      <c r="BV31" s="24">
        <f t="shared" si="29"/>
        <v>0</v>
      </c>
      <c r="BW31" s="24">
        <f t="shared" si="29"/>
        <v>0</v>
      </c>
      <c r="BX31" s="24">
        <f t="shared" si="30"/>
        <v>0</v>
      </c>
      <c r="BY31" s="24">
        <f t="shared" si="30"/>
        <v>0</v>
      </c>
      <c r="BZ31" s="24">
        <f t="shared" si="30"/>
        <v>0</v>
      </c>
      <c r="CA31" s="24">
        <f t="shared" si="30"/>
        <v>0</v>
      </c>
      <c r="CB31" s="24">
        <f t="shared" si="30"/>
        <v>0</v>
      </c>
      <c r="CC31" s="24">
        <f t="shared" si="30"/>
        <v>0</v>
      </c>
      <c r="CD31" s="24">
        <f t="shared" si="30"/>
        <v>0</v>
      </c>
      <c r="CE31" s="27">
        <f t="shared" si="6"/>
        <v>0</v>
      </c>
      <c r="CF31" s="24">
        <f t="shared" si="31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1</v>
      </c>
      <c r="DE31" s="24">
        <f t="shared" si="32"/>
        <v>20000000</v>
      </c>
      <c r="DF31" s="24">
        <f t="shared" si="33"/>
        <v>0</v>
      </c>
      <c r="DG31" s="24">
        <f t="shared" si="33"/>
        <v>0</v>
      </c>
      <c r="DH31" s="24">
        <f t="shared" si="33"/>
        <v>0</v>
      </c>
      <c r="DI31" s="24">
        <f t="shared" si="33"/>
        <v>0</v>
      </c>
      <c r="DJ31" s="24">
        <f t="shared" si="33"/>
        <v>0</v>
      </c>
      <c r="DK31" s="24">
        <f t="shared" si="33"/>
        <v>0</v>
      </c>
      <c r="DL31" s="24">
        <f t="shared" si="33"/>
        <v>0</v>
      </c>
      <c r="DM31" s="24">
        <f t="shared" si="33"/>
        <v>20000000</v>
      </c>
      <c r="DN31" s="24">
        <f t="shared" si="33"/>
        <v>0</v>
      </c>
      <c r="DO31" s="24">
        <f t="shared" si="33"/>
        <v>0</v>
      </c>
      <c r="DP31" s="24">
        <f t="shared" si="33"/>
        <v>0</v>
      </c>
      <c r="DQ31" s="24">
        <f t="shared" si="33"/>
        <v>0</v>
      </c>
      <c r="DR31" s="24">
        <f t="shared" si="33"/>
        <v>0</v>
      </c>
      <c r="DS31" s="24">
        <f t="shared" si="33"/>
        <v>0</v>
      </c>
      <c r="DT31" s="24">
        <f t="shared" si="33"/>
        <v>0</v>
      </c>
      <c r="DU31" s="24">
        <f t="shared" si="33"/>
        <v>0</v>
      </c>
      <c r="DV31" s="24">
        <f t="shared" si="34"/>
        <v>0</v>
      </c>
      <c r="DW31" s="24">
        <f t="shared" si="34"/>
        <v>0</v>
      </c>
      <c r="DX31" s="24">
        <f t="shared" si="34"/>
        <v>0</v>
      </c>
      <c r="DY31" s="24">
        <f t="shared" si="34"/>
        <v>0</v>
      </c>
      <c r="DZ31" s="24">
        <f t="shared" si="34"/>
        <v>0</v>
      </c>
      <c r="EA31" s="24">
        <f t="shared" si="34"/>
        <v>0</v>
      </c>
      <c r="EB31" s="24">
        <f t="shared" si="34"/>
        <v>0</v>
      </c>
      <c r="ED31" s="31">
        <f t="shared" si="11"/>
        <v>20000000</v>
      </c>
      <c r="EE31" s="31">
        <f t="shared" si="15"/>
        <v>20000000</v>
      </c>
      <c r="EF31" s="31">
        <f t="shared" si="16"/>
        <v>20000000</v>
      </c>
    </row>
    <row r="32" spans="1:137" ht="21" customHeight="1" x14ac:dyDescent="0.25">
      <c r="A32" s="32"/>
      <c r="B32" s="230"/>
      <c r="C32" s="20" t="s">
        <v>120</v>
      </c>
      <c r="D32" s="35" t="s">
        <v>121</v>
      </c>
      <c r="E32" s="22">
        <v>410</v>
      </c>
      <c r="F32" s="23" t="s">
        <v>112</v>
      </c>
      <c r="G32" s="24">
        <f t="shared" si="26"/>
        <v>0</v>
      </c>
      <c r="H32" s="25">
        <f>+[7]SI!$F18</f>
        <v>300000000</v>
      </c>
      <c r="I32" s="25">
        <f t="shared" si="35"/>
        <v>300000000</v>
      </c>
      <c r="J32" s="24"/>
      <c r="K32" s="24"/>
      <c r="L32" s="24"/>
      <c r="M32" s="24"/>
      <c r="N32" s="24"/>
      <c r="O32" s="24"/>
      <c r="P32" s="24"/>
      <c r="Q32" s="24">
        <f>200000000-200000000</f>
        <v>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f>100000000-100000000</f>
        <v>0</v>
      </c>
      <c r="AC32" s="24"/>
      <c r="AD32" s="24"/>
      <c r="AE32" s="24"/>
      <c r="AF32" s="24"/>
      <c r="AG32" s="27" t="e">
        <f t="shared" si="1"/>
        <v>#DIV/0!</v>
      </c>
      <c r="AH32" s="24">
        <f t="shared" si="27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 t="e">
        <f t="shared" si="13"/>
        <v>#DIV/0!</v>
      </c>
      <c r="BG32" s="24">
        <f t="shared" si="28"/>
        <v>0</v>
      </c>
      <c r="BH32" s="24">
        <f t="shared" si="29"/>
        <v>0</v>
      </c>
      <c r="BI32" s="24">
        <f t="shared" si="29"/>
        <v>0</v>
      </c>
      <c r="BJ32" s="24">
        <f t="shared" si="29"/>
        <v>0</v>
      </c>
      <c r="BK32" s="24">
        <f t="shared" si="29"/>
        <v>0</v>
      </c>
      <c r="BL32" s="24">
        <f t="shared" si="29"/>
        <v>0</v>
      </c>
      <c r="BM32" s="24">
        <f t="shared" si="29"/>
        <v>0</v>
      </c>
      <c r="BN32" s="24">
        <f t="shared" si="29"/>
        <v>0</v>
      </c>
      <c r="BO32" s="24">
        <f t="shared" si="29"/>
        <v>0</v>
      </c>
      <c r="BP32" s="24">
        <f t="shared" si="29"/>
        <v>0</v>
      </c>
      <c r="BQ32" s="24">
        <f t="shared" si="29"/>
        <v>0</v>
      </c>
      <c r="BR32" s="24">
        <f t="shared" si="29"/>
        <v>0</v>
      </c>
      <c r="BS32" s="24">
        <f t="shared" si="29"/>
        <v>0</v>
      </c>
      <c r="BT32" s="24">
        <f t="shared" si="29"/>
        <v>0</v>
      </c>
      <c r="BU32" s="24">
        <f t="shared" si="29"/>
        <v>0</v>
      </c>
      <c r="BV32" s="24">
        <f t="shared" si="29"/>
        <v>0</v>
      </c>
      <c r="BW32" s="24">
        <f t="shared" si="29"/>
        <v>0</v>
      </c>
      <c r="BX32" s="24">
        <f t="shared" si="30"/>
        <v>0</v>
      </c>
      <c r="BY32" s="24">
        <f t="shared" si="30"/>
        <v>0</v>
      </c>
      <c r="BZ32" s="24">
        <f t="shared" si="30"/>
        <v>0</v>
      </c>
      <c r="CA32" s="24">
        <f t="shared" si="30"/>
        <v>0</v>
      </c>
      <c r="CB32" s="24">
        <f t="shared" si="30"/>
        <v>0</v>
      </c>
      <c r="CC32" s="24">
        <f t="shared" si="30"/>
        <v>0</v>
      </c>
      <c r="CD32" s="24">
        <f t="shared" si="30"/>
        <v>0</v>
      </c>
      <c r="CE32" s="27" t="e">
        <f t="shared" si="6"/>
        <v>#DIV/0!</v>
      </c>
      <c r="CF32" s="24">
        <f t="shared" si="31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 t="e">
        <f t="shared" si="8"/>
        <v>#DIV/0!</v>
      </c>
      <c r="DE32" s="24">
        <f t="shared" si="32"/>
        <v>0</v>
      </c>
      <c r="DF32" s="24">
        <f t="shared" si="33"/>
        <v>0</v>
      </c>
      <c r="DG32" s="24">
        <f t="shared" si="33"/>
        <v>0</v>
      </c>
      <c r="DH32" s="24">
        <f t="shared" si="33"/>
        <v>0</v>
      </c>
      <c r="DI32" s="24">
        <f t="shared" si="33"/>
        <v>0</v>
      </c>
      <c r="DJ32" s="24">
        <f t="shared" si="33"/>
        <v>0</v>
      </c>
      <c r="DK32" s="24">
        <f t="shared" si="33"/>
        <v>0</v>
      </c>
      <c r="DL32" s="24">
        <f t="shared" si="33"/>
        <v>0</v>
      </c>
      <c r="DM32" s="24">
        <f t="shared" si="33"/>
        <v>0</v>
      </c>
      <c r="DN32" s="24">
        <f t="shared" si="33"/>
        <v>0</v>
      </c>
      <c r="DO32" s="24">
        <f t="shared" si="33"/>
        <v>0</v>
      </c>
      <c r="DP32" s="24">
        <f t="shared" si="33"/>
        <v>0</v>
      </c>
      <c r="DQ32" s="24">
        <f t="shared" si="33"/>
        <v>0</v>
      </c>
      <c r="DR32" s="24">
        <f t="shared" si="33"/>
        <v>0</v>
      </c>
      <c r="DS32" s="24">
        <f t="shared" si="33"/>
        <v>0</v>
      </c>
      <c r="DT32" s="24">
        <f t="shared" si="33"/>
        <v>0</v>
      </c>
      <c r="DU32" s="24">
        <f t="shared" si="33"/>
        <v>0</v>
      </c>
      <c r="DV32" s="24">
        <f t="shared" si="34"/>
        <v>0</v>
      </c>
      <c r="DW32" s="24">
        <f t="shared" si="34"/>
        <v>0</v>
      </c>
      <c r="DX32" s="24">
        <f t="shared" si="34"/>
        <v>0</v>
      </c>
      <c r="DY32" s="24">
        <f t="shared" si="34"/>
        <v>0</v>
      </c>
      <c r="DZ32" s="24">
        <f t="shared" si="34"/>
        <v>0</v>
      </c>
      <c r="EA32" s="24">
        <f t="shared" si="34"/>
        <v>0</v>
      </c>
      <c r="EB32" s="24">
        <f t="shared" si="34"/>
        <v>0</v>
      </c>
      <c r="ED32" s="31">
        <f t="shared" si="11"/>
        <v>0</v>
      </c>
      <c r="EE32" s="31">
        <f t="shared" si="15"/>
        <v>0</v>
      </c>
      <c r="EF32" s="31">
        <f t="shared" si="16"/>
        <v>0</v>
      </c>
    </row>
    <row r="33" spans="1:136" ht="42.75" customHeight="1" x14ac:dyDescent="0.25">
      <c r="A33" s="32"/>
      <c r="B33" s="230"/>
      <c r="C33" s="20" t="s">
        <v>122</v>
      </c>
      <c r="D33" s="35" t="s">
        <v>123</v>
      </c>
      <c r="E33" s="22">
        <v>410</v>
      </c>
      <c r="F33" s="23" t="s">
        <v>124</v>
      </c>
      <c r="G33" s="24">
        <f t="shared" si="26"/>
        <v>332960000</v>
      </c>
      <c r="H33" s="25">
        <f>+[7]SI!$F19</f>
        <v>327960000</v>
      </c>
      <c r="I33" s="25">
        <f>+H33-G33</f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7">
        <f t="shared" si="1"/>
        <v>0.9849831811629024</v>
      </c>
      <c r="AH33" s="24">
        <f t="shared" si="27"/>
        <v>327960000</v>
      </c>
      <c r="AI33" s="24"/>
      <c r="AJ33" s="24"/>
      <c r="AK33" s="24"/>
      <c r="AL33" s="24"/>
      <c r="AM33" s="24"/>
      <c r="AN33" s="24"/>
      <c r="AO33" s="24"/>
      <c r="AP33" s="24">
        <f>+'[5]FEBRERO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+'[9]ENERO 2020'!$AB$1305</f>
        <v>5000000</v>
      </c>
      <c r="BB33" s="24"/>
      <c r="BC33" s="24"/>
      <c r="BD33" s="24"/>
      <c r="BE33" s="24">
        <f>+[4]JULIO!$AG$1398</f>
        <v>5000000</v>
      </c>
      <c r="BF33" s="27">
        <f t="shared" si="13"/>
        <v>1.5016818837097601E-2</v>
      </c>
      <c r="BG33" s="24">
        <f t="shared" si="28"/>
        <v>5000000</v>
      </c>
      <c r="BH33" s="24">
        <f t="shared" si="29"/>
        <v>0</v>
      </c>
      <c r="BI33" s="24">
        <f t="shared" si="29"/>
        <v>0</v>
      </c>
      <c r="BJ33" s="24">
        <f t="shared" si="29"/>
        <v>0</v>
      </c>
      <c r="BK33" s="24">
        <f t="shared" si="29"/>
        <v>0</v>
      </c>
      <c r="BL33" s="24">
        <f t="shared" si="29"/>
        <v>0</v>
      </c>
      <c r="BM33" s="24">
        <f t="shared" si="29"/>
        <v>0</v>
      </c>
      <c r="BN33" s="24">
        <f t="shared" si="29"/>
        <v>0</v>
      </c>
      <c r="BO33" s="24">
        <f t="shared" si="29"/>
        <v>0</v>
      </c>
      <c r="BP33" s="24">
        <f t="shared" si="29"/>
        <v>0</v>
      </c>
      <c r="BQ33" s="24">
        <f t="shared" si="29"/>
        <v>0</v>
      </c>
      <c r="BR33" s="24">
        <f t="shared" si="29"/>
        <v>0</v>
      </c>
      <c r="BS33" s="24">
        <f t="shared" si="29"/>
        <v>0</v>
      </c>
      <c r="BT33" s="24">
        <f t="shared" si="29"/>
        <v>0</v>
      </c>
      <c r="BU33" s="24">
        <f t="shared" si="29"/>
        <v>0</v>
      </c>
      <c r="BV33" s="24">
        <f t="shared" si="29"/>
        <v>0</v>
      </c>
      <c r="BW33" s="24">
        <f t="shared" si="29"/>
        <v>0</v>
      </c>
      <c r="BX33" s="24">
        <f t="shared" si="30"/>
        <v>0</v>
      </c>
      <c r="BY33" s="24">
        <f t="shared" si="30"/>
        <v>0</v>
      </c>
      <c r="BZ33" s="24">
        <f t="shared" si="30"/>
        <v>0</v>
      </c>
      <c r="CA33" s="24">
        <f t="shared" si="30"/>
        <v>0</v>
      </c>
      <c r="CB33" s="24">
        <f t="shared" si="30"/>
        <v>0</v>
      </c>
      <c r="CC33" s="24">
        <f t="shared" si="30"/>
        <v>0</v>
      </c>
      <c r="CD33" s="24">
        <f t="shared" si="30"/>
        <v>5000000</v>
      </c>
      <c r="CE33" s="27">
        <f t="shared" si="6"/>
        <v>0.58612427919269583</v>
      </c>
      <c r="CF33" s="24">
        <f t="shared" si="31"/>
        <v>195155940</v>
      </c>
      <c r="CG33" s="24"/>
      <c r="CH33" s="24"/>
      <c r="CI33" s="24"/>
      <c r="CJ33" s="24"/>
      <c r="CK33" s="24"/>
      <c r="CL33" s="24"/>
      <c r="CM33" s="24"/>
      <c r="CN33" s="24">
        <f>+[2]OCTUBRE!$H$1749+[2]OCTUBRE!$H$1766+[2]OCTUBRE!$H$1771</f>
        <v>190155940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>
        <f>+[4]JULIO!$H$1438</f>
        <v>5000000</v>
      </c>
      <c r="DD33" s="27">
        <f t="shared" si="8"/>
        <v>0.41387572080730417</v>
      </c>
      <c r="DE33" s="24">
        <f t="shared" si="32"/>
        <v>137804060</v>
      </c>
      <c r="DF33" s="24">
        <f t="shared" si="33"/>
        <v>0</v>
      </c>
      <c r="DG33" s="24">
        <f t="shared" si="33"/>
        <v>0</v>
      </c>
      <c r="DH33" s="24">
        <f t="shared" si="33"/>
        <v>0</v>
      </c>
      <c r="DI33" s="24">
        <f t="shared" si="33"/>
        <v>0</v>
      </c>
      <c r="DJ33" s="24">
        <f t="shared" si="33"/>
        <v>0</v>
      </c>
      <c r="DK33" s="24">
        <f t="shared" si="33"/>
        <v>0</v>
      </c>
      <c r="DL33" s="24">
        <f t="shared" si="33"/>
        <v>0</v>
      </c>
      <c r="DM33" s="24">
        <f t="shared" si="33"/>
        <v>127804060</v>
      </c>
      <c r="DN33" s="24">
        <f t="shared" si="33"/>
        <v>0</v>
      </c>
      <c r="DO33" s="24">
        <f t="shared" si="33"/>
        <v>0</v>
      </c>
      <c r="DP33" s="24">
        <f t="shared" si="33"/>
        <v>0</v>
      </c>
      <c r="DQ33" s="24">
        <f t="shared" si="33"/>
        <v>0</v>
      </c>
      <c r="DR33" s="24">
        <f t="shared" si="33"/>
        <v>0</v>
      </c>
      <c r="DS33" s="24">
        <f t="shared" si="33"/>
        <v>0</v>
      </c>
      <c r="DT33" s="24">
        <f t="shared" si="33"/>
        <v>0</v>
      </c>
      <c r="DU33" s="24">
        <f t="shared" si="33"/>
        <v>0</v>
      </c>
      <c r="DV33" s="24">
        <f t="shared" si="34"/>
        <v>0</v>
      </c>
      <c r="DW33" s="24">
        <f t="shared" si="34"/>
        <v>0</v>
      </c>
      <c r="DX33" s="24">
        <f t="shared" si="34"/>
        <v>5000000</v>
      </c>
      <c r="DY33" s="24">
        <f t="shared" si="34"/>
        <v>0</v>
      </c>
      <c r="DZ33" s="24">
        <f t="shared" si="34"/>
        <v>0</v>
      </c>
      <c r="EA33" s="24">
        <f t="shared" si="34"/>
        <v>0</v>
      </c>
      <c r="EB33" s="24">
        <f t="shared" si="34"/>
        <v>5000000</v>
      </c>
      <c r="ED33" s="31">
        <f t="shared" si="11"/>
        <v>332960000</v>
      </c>
      <c r="EE33" s="31">
        <f t="shared" si="15"/>
        <v>332960000</v>
      </c>
      <c r="EF33" s="31">
        <f t="shared" si="16"/>
        <v>332960000</v>
      </c>
    </row>
    <row r="34" spans="1:136" ht="52.9" customHeight="1" x14ac:dyDescent="0.25">
      <c r="A34" s="208" t="s">
        <v>99</v>
      </c>
      <c r="B34" s="228" t="s">
        <v>125</v>
      </c>
      <c r="C34" s="50" t="s">
        <v>126</v>
      </c>
      <c r="D34" s="35" t="s">
        <v>127</v>
      </c>
      <c r="E34" s="51">
        <v>410</v>
      </c>
      <c r="F34" s="23" t="s">
        <v>128</v>
      </c>
      <c r="G34" s="24">
        <f t="shared" si="26"/>
        <v>90341160</v>
      </c>
      <c r="H34" s="25">
        <f>+[7]SI!$F25</f>
        <v>168000000</v>
      </c>
      <c r="I34" s="25">
        <f t="shared" si="35"/>
        <v>77658840</v>
      </c>
      <c r="J34" s="24"/>
      <c r="K34" s="24"/>
      <c r="L34" s="24"/>
      <c r="M34" s="24"/>
      <c r="N34" s="24"/>
      <c r="O34" s="24"/>
      <c r="P34" s="24"/>
      <c r="Q34" s="24">
        <f>11878679-1878679</f>
        <v>10000000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f>50000000-28658840</f>
        <v>21341160</v>
      </c>
      <c r="AC34" s="24"/>
      <c r="AD34" s="24"/>
      <c r="AE34" s="24"/>
      <c r="AF34" s="24">
        <f>24000000+5000000+30000000</f>
        <v>59000000</v>
      </c>
      <c r="AG34" s="27">
        <f t="shared" si="1"/>
        <v>0.45429082380611452</v>
      </c>
      <c r="AH34" s="24">
        <f t="shared" si="27"/>
        <v>41041160</v>
      </c>
      <c r="AI34" s="24"/>
      <c r="AJ34" s="24"/>
      <c r="AK34" s="24"/>
      <c r="AL34" s="24"/>
      <c r="AM34" s="24"/>
      <c r="AN34" s="24"/>
      <c r="AO34" s="24"/>
      <c r="AP34" s="24">
        <f>+[4]JULIO!$Q$1447</f>
        <v>10000000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+[4]JULIO!$AB$1447</f>
        <v>21341160</v>
      </c>
      <c r="BB34" s="24"/>
      <c r="BC34" s="24"/>
      <c r="BD34" s="24"/>
      <c r="BE34" s="24">
        <f>+[2]OCTUBRE!$AG$1794</f>
        <v>9700000</v>
      </c>
      <c r="BF34" s="27">
        <f t="shared" si="13"/>
        <v>0.54570917619388548</v>
      </c>
      <c r="BG34" s="24">
        <f t="shared" si="28"/>
        <v>49300000</v>
      </c>
      <c r="BH34" s="24">
        <f t="shared" si="29"/>
        <v>0</v>
      </c>
      <c r="BI34" s="24">
        <f t="shared" si="29"/>
        <v>0</v>
      </c>
      <c r="BJ34" s="24">
        <f t="shared" si="29"/>
        <v>0</v>
      </c>
      <c r="BK34" s="24">
        <f t="shared" si="29"/>
        <v>0</v>
      </c>
      <c r="BL34" s="24">
        <f t="shared" si="29"/>
        <v>0</v>
      </c>
      <c r="BM34" s="24">
        <f t="shared" si="29"/>
        <v>0</v>
      </c>
      <c r="BN34" s="24">
        <f t="shared" si="29"/>
        <v>0</v>
      </c>
      <c r="BO34" s="24">
        <f t="shared" si="29"/>
        <v>0</v>
      </c>
      <c r="BP34" s="24">
        <f t="shared" si="29"/>
        <v>0</v>
      </c>
      <c r="BQ34" s="24">
        <f t="shared" si="29"/>
        <v>0</v>
      </c>
      <c r="BR34" s="24">
        <f t="shared" si="29"/>
        <v>0</v>
      </c>
      <c r="BS34" s="24">
        <f t="shared" si="29"/>
        <v>0</v>
      </c>
      <c r="BT34" s="24">
        <f t="shared" si="29"/>
        <v>0</v>
      </c>
      <c r="BU34" s="24">
        <f t="shared" si="29"/>
        <v>0</v>
      </c>
      <c r="BV34" s="24">
        <f t="shared" si="29"/>
        <v>0</v>
      </c>
      <c r="BW34" s="24">
        <f t="shared" si="29"/>
        <v>0</v>
      </c>
      <c r="BX34" s="24">
        <f t="shared" si="30"/>
        <v>0</v>
      </c>
      <c r="BY34" s="24">
        <f t="shared" si="30"/>
        <v>0</v>
      </c>
      <c r="BZ34" s="24">
        <f t="shared" si="30"/>
        <v>0</v>
      </c>
      <c r="CA34" s="24">
        <f t="shared" si="30"/>
        <v>0</v>
      </c>
      <c r="CB34" s="24">
        <f t="shared" si="30"/>
        <v>0</v>
      </c>
      <c r="CC34" s="24">
        <f t="shared" si="30"/>
        <v>0</v>
      </c>
      <c r="CD34" s="24">
        <f t="shared" si="30"/>
        <v>49300000</v>
      </c>
      <c r="CE34" s="27">
        <f t="shared" si="6"/>
        <v>8.5023924864369688E-2</v>
      </c>
      <c r="CF34" s="24">
        <f t="shared" si="31"/>
        <v>7681160</v>
      </c>
      <c r="CG34" s="24"/>
      <c r="CH34" s="24"/>
      <c r="CI34" s="24"/>
      <c r="CJ34" s="24"/>
      <c r="CK34" s="24"/>
      <c r="CL34" s="24"/>
      <c r="CM34" s="24"/>
      <c r="CN34" s="24">
        <f>+[2]OCTUBRE!$H$1799</f>
        <v>840000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f>+[2]OCTUBRE!$H$1802</f>
        <v>4341160</v>
      </c>
      <c r="CZ34" s="24"/>
      <c r="DA34" s="24"/>
      <c r="DB34" s="24"/>
      <c r="DC34" s="24">
        <f>+[2]OCTUBRE!$H$1816</f>
        <v>2500000</v>
      </c>
      <c r="DD34" s="27">
        <f t="shared" si="8"/>
        <v>0.91497607513563028</v>
      </c>
      <c r="DE34" s="24">
        <f t="shared" si="32"/>
        <v>82660000</v>
      </c>
      <c r="DF34" s="24">
        <f t="shared" si="33"/>
        <v>0</v>
      </c>
      <c r="DG34" s="24">
        <f t="shared" si="33"/>
        <v>0</v>
      </c>
      <c r="DH34" s="24">
        <f t="shared" si="33"/>
        <v>0</v>
      </c>
      <c r="DI34" s="24">
        <f t="shared" si="33"/>
        <v>0</v>
      </c>
      <c r="DJ34" s="24">
        <f t="shared" si="33"/>
        <v>0</v>
      </c>
      <c r="DK34" s="24">
        <f t="shared" si="33"/>
        <v>0</v>
      </c>
      <c r="DL34" s="24">
        <f t="shared" si="33"/>
        <v>0</v>
      </c>
      <c r="DM34" s="24">
        <f t="shared" si="33"/>
        <v>9160000</v>
      </c>
      <c r="DN34" s="24">
        <f t="shared" si="33"/>
        <v>0</v>
      </c>
      <c r="DO34" s="24">
        <f t="shared" si="33"/>
        <v>0</v>
      </c>
      <c r="DP34" s="24">
        <f t="shared" si="33"/>
        <v>0</v>
      </c>
      <c r="DQ34" s="24">
        <f t="shared" si="33"/>
        <v>0</v>
      </c>
      <c r="DR34" s="24">
        <f t="shared" si="33"/>
        <v>0</v>
      </c>
      <c r="DS34" s="24">
        <f t="shared" si="33"/>
        <v>0</v>
      </c>
      <c r="DT34" s="24">
        <f t="shared" si="33"/>
        <v>0</v>
      </c>
      <c r="DU34" s="24">
        <f t="shared" si="33"/>
        <v>0</v>
      </c>
      <c r="DV34" s="24">
        <f t="shared" si="34"/>
        <v>0</v>
      </c>
      <c r="DW34" s="24">
        <f t="shared" si="34"/>
        <v>0</v>
      </c>
      <c r="DX34" s="24">
        <f t="shared" si="34"/>
        <v>17000000</v>
      </c>
      <c r="DY34" s="24">
        <f t="shared" si="34"/>
        <v>0</v>
      </c>
      <c r="DZ34" s="24">
        <f t="shared" si="34"/>
        <v>0</v>
      </c>
      <c r="EA34" s="24">
        <f t="shared" si="34"/>
        <v>0</v>
      </c>
      <c r="EB34" s="24">
        <f t="shared" si="34"/>
        <v>56500000</v>
      </c>
      <c r="ED34" s="31">
        <f t="shared" si="11"/>
        <v>90341160</v>
      </c>
      <c r="EE34" s="31">
        <f t="shared" si="15"/>
        <v>90341160</v>
      </c>
      <c r="EF34" s="31">
        <f t="shared" si="16"/>
        <v>90341160</v>
      </c>
    </row>
    <row r="35" spans="1:136" ht="73.900000000000006" customHeight="1" x14ac:dyDescent="0.25">
      <c r="A35" s="208"/>
      <c r="B35" s="231"/>
      <c r="C35" s="50" t="s">
        <v>129</v>
      </c>
      <c r="D35" s="35" t="s">
        <v>130</v>
      </c>
      <c r="E35" s="51">
        <v>410</v>
      </c>
      <c r="F35" s="23" t="s">
        <v>131</v>
      </c>
      <c r="G35" s="24">
        <f t="shared" si="26"/>
        <v>58321321</v>
      </c>
      <c r="H35" s="25">
        <f>+[7]SI!$F26</f>
        <v>212500000</v>
      </c>
      <c r="I35" s="25">
        <f t="shared" si="35"/>
        <v>154178679</v>
      </c>
      <c r="J35" s="24"/>
      <c r="K35" s="24"/>
      <c r="L35" s="24"/>
      <c r="M35" s="24"/>
      <c r="N35" s="24"/>
      <c r="O35" s="24"/>
      <c r="P35" s="24"/>
      <c r="Q35" s="24">
        <f>18121321-10000000+30000000-22121321</f>
        <v>16000000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6">
        <f>54121321+5000000+7000000-10600000-5000000-8200000</f>
        <v>42321321</v>
      </c>
      <c r="AG35" s="27">
        <f t="shared" si="1"/>
        <v>0.41494259020641866</v>
      </c>
      <c r="AH35" s="24">
        <f t="shared" si="27"/>
        <v>24200000</v>
      </c>
      <c r="AI35" s="24"/>
      <c r="AJ35" s="24"/>
      <c r="AK35" s="24"/>
      <c r="AL35" s="24"/>
      <c r="AM35" s="24"/>
      <c r="AN35" s="24"/>
      <c r="AO35" s="24"/>
      <c r="AP35" s="24">
        <f>+[4]JULIO!$Q$1488</f>
        <v>16000000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+[2]OCTUBRE!$AG$1836</f>
        <v>8200000</v>
      </c>
      <c r="BF35" s="27">
        <f t="shared" si="13"/>
        <v>0.58505740979358134</v>
      </c>
      <c r="BG35" s="24">
        <f t="shared" si="28"/>
        <v>34121321</v>
      </c>
      <c r="BH35" s="24">
        <f t="shared" si="29"/>
        <v>0</v>
      </c>
      <c r="BI35" s="24">
        <f t="shared" si="29"/>
        <v>0</v>
      </c>
      <c r="BJ35" s="24">
        <f t="shared" si="29"/>
        <v>0</v>
      </c>
      <c r="BK35" s="24">
        <f t="shared" si="29"/>
        <v>0</v>
      </c>
      <c r="BL35" s="24">
        <f t="shared" si="29"/>
        <v>0</v>
      </c>
      <c r="BM35" s="24">
        <f t="shared" si="29"/>
        <v>0</v>
      </c>
      <c r="BN35" s="24">
        <f t="shared" si="29"/>
        <v>0</v>
      </c>
      <c r="BO35" s="24">
        <f t="shared" si="29"/>
        <v>0</v>
      </c>
      <c r="BP35" s="24">
        <f t="shared" si="29"/>
        <v>0</v>
      </c>
      <c r="BQ35" s="24">
        <f t="shared" si="29"/>
        <v>0</v>
      </c>
      <c r="BR35" s="24">
        <f t="shared" si="29"/>
        <v>0</v>
      </c>
      <c r="BS35" s="24">
        <f t="shared" si="29"/>
        <v>0</v>
      </c>
      <c r="BT35" s="24">
        <f t="shared" si="29"/>
        <v>0</v>
      </c>
      <c r="BU35" s="24">
        <f t="shared" si="29"/>
        <v>0</v>
      </c>
      <c r="BV35" s="24">
        <f t="shared" si="29"/>
        <v>0</v>
      </c>
      <c r="BW35" s="24">
        <f t="shared" si="29"/>
        <v>0</v>
      </c>
      <c r="BX35" s="24">
        <f t="shared" si="30"/>
        <v>0</v>
      </c>
      <c r="BY35" s="24">
        <f t="shared" si="30"/>
        <v>0</v>
      </c>
      <c r="BZ35" s="24">
        <f t="shared" si="30"/>
        <v>0</v>
      </c>
      <c r="CA35" s="24">
        <f t="shared" si="30"/>
        <v>0</v>
      </c>
      <c r="CB35" s="24">
        <f t="shared" si="30"/>
        <v>0</v>
      </c>
      <c r="CC35" s="24">
        <f t="shared" si="30"/>
        <v>0</v>
      </c>
      <c r="CD35" s="24">
        <f t="shared" si="30"/>
        <v>34121321</v>
      </c>
      <c r="CE35" s="27">
        <f t="shared" si="6"/>
        <v>0.17146388025058623</v>
      </c>
      <c r="CF35" s="24">
        <f t="shared" si="31"/>
        <v>10000000</v>
      </c>
      <c r="CG35" s="24"/>
      <c r="CH35" s="24"/>
      <c r="CI35" s="24"/>
      <c r="CJ35" s="24"/>
      <c r="CK35" s="24"/>
      <c r="CL35" s="24"/>
      <c r="CM35" s="24"/>
      <c r="CN35" s="24">
        <f>+[3]SEPTIEMBRE!$H$1727+[3]SEPTIEMBRE!$H$1742</f>
        <v>7800000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+[3]SEPTIEMBRE!$H$1722</f>
        <v>2200000</v>
      </c>
      <c r="DD35" s="27">
        <f t="shared" si="8"/>
        <v>0.82853611974941377</v>
      </c>
      <c r="DE35" s="24">
        <f t="shared" si="32"/>
        <v>48321321</v>
      </c>
      <c r="DF35" s="24">
        <f t="shared" si="33"/>
        <v>0</v>
      </c>
      <c r="DG35" s="24">
        <f t="shared" si="33"/>
        <v>0</v>
      </c>
      <c r="DH35" s="24">
        <f t="shared" si="33"/>
        <v>0</v>
      </c>
      <c r="DI35" s="24">
        <f t="shared" si="33"/>
        <v>0</v>
      </c>
      <c r="DJ35" s="24">
        <f t="shared" si="33"/>
        <v>0</v>
      </c>
      <c r="DK35" s="24">
        <f t="shared" si="33"/>
        <v>0</v>
      </c>
      <c r="DL35" s="24">
        <f t="shared" si="33"/>
        <v>0</v>
      </c>
      <c r="DM35" s="24">
        <f t="shared" si="33"/>
        <v>8200000</v>
      </c>
      <c r="DN35" s="24">
        <f t="shared" si="33"/>
        <v>0</v>
      </c>
      <c r="DO35" s="24">
        <f t="shared" si="33"/>
        <v>0</v>
      </c>
      <c r="DP35" s="24">
        <f t="shared" si="33"/>
        <v>0</v>
      </c>
      <c r="DQ35" s="24">
        <f t="shared" si="33"/>
        <v>0</v>
      </c>
      <c r="DR35" s="24">
        <f t="shared" si="33"/>
        <v>0</v>
      </c>
      <c r="DS35" s="24">
        <f t="shared" si="33"/>
        <v>0</v>
      </c>
      <c r="DT35" s="24">
        <f t="shared" si="33"/>
        <v>0</v>
      </c>
      <c r="DU35" s="24">
        <f t="shared" si="33"/>
        <v>0</v>
      </c>
      <c r="DV35" s="24">
        <f t="shared" si="34"/>
        <v>0</v>
      </c>
      <c r="DW35" s="24">
        <f t="shared" si="34"/>
        <v>0</v>
      </c>
      <c r="DX35" s="24">
        <f t="shared" si="34"/>
        <v>0</v>
      </c>
      <c r="DY35" s="24">
        <f t="shared" si="34"/>
        <v>0</v>
      </c>
      <c r="DZ35" s="24">
        <f t="shared" si="34"/>
        <v>0</v>
      </c>
      <c r="EA35" s="24">
        <f t="shared" si="34"/>
        <v>0</v>
      </c>
      <c r="EB35" s="24">
        <f t="shared" si="34"/>
        <v>40121321</v>
      </c>
      <c r="ED35" s="31">
        <f t="shared" si="11"/>
        <v>58321321</v>
      </c>
      <c r="EE35" s="31">
        <f t="shared" si="15"/>
        <v>58321321</v>
      </c>
      <c r="EF35" s="31">
        <f t="shared" si="16"/>
        <v>58321321</v>
      </c>
    </row>
    <row r="36" spans="1:136" ht="37.15" customHeight="1" x14ac:dyDescent="0.25">
      <c r="A36" s="208"/>
      <c r="B36" s="231"/>
      <c r="C36" s="20" t="s">
        <v>132</v>
      </c>
      <c r="D36" s="35" t="s">
        <v>133</v>
      </c>
      <c r="E36" s="22">
        <v>410</v>
      </c>
      <c r="F36" s="23" t="s">
        <v>134</v>
      </c>
      <c r="G36" s="24">
        <f t="shared" si="26"/>
        <v>33000000</v>
      </c>
      <c r="H36" s="25">
        <f>+[7]SI!$F27</f>
        <v>14000000</v>
      </c>
      <c r="I36" s="25">
        <f t="shared" si="35"/>
        <v>-19000000</v>
      </c>
      <c r="J36" s="24"/>
      <c r="K36" s="24"/>
      <c r="L36" s="24"/>
      <c r="M36" s="24"/>
      <c r="N36" s="24"/>
      <c r="O36" s="24"/>
      <c r="P36" s="24"/>
      <c r="Q36" s="24">
        <f>10000000+10000000+10000000</f>
        <v>30000000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7">
        <f t="shared" si="1"/>
        <v>0.90909090909090906</v>
      </c>
      <c r="AH36" s="24">
        <f t="shared" si="27"/>
        <v>30000000</v>
      </c>
      <c r="AI36" s="24"/>
      <c r="AJ36" s="24"/>
      <c r="AK36" s="24"/>
      <c r="AL36" s="24"/>
      <c r="AM36" s="24"/>
      <c r="AN36" s="24"/>
      <c r="AO36" s="24"/>
      <c r="AP36" s="24">
        <f>+[3]SEPTIEMBRE!$Q$1749</f>
        <v>30000000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7">
        <f t="shared" si="13"/>
        <v>9.0909090909090939E-2</v>
      </c>
      <c r="BG36" s="24">
        <f t="shared" si="28"/>
        <v>3000000</v>
      </c>
      <c r="BH36" s="24">
        <f t="shared" si="29"/>
        <v>0</v>
      </c>
      <c r="BI36" s="24">
        <f t="shared" si="29"/>
        <v>0</v>
      </c>
      <c r="BJ36" s="24">
        <f t="shared" si="29"/>
        <v>0</v>
      </c>
      <c r="BK36" s="24">
        <f t="shared" si="29"/>
        <v>0</v>
      </c>
      <c r="BL36" s="24">
        <f t="shared" si="29"/>
        <v>0</v>
      </c>
      <c r="BM36" s="24">
        <f t="shared" si="29"/>
        <v>0</v>
      </c>
      <c r="BN36" s="24">
        <f t="shared" si="29"/>
        <v>0</v>
      </c>
      <c r="BO36" s="24">
        <f t="shared" si="29"/>
        <v>0</v>
      </c>
      <c r="BP36" s="24">
        <f t="shared" si="29"/>
        <v>0</v>
      </c>
      <c r="BQ36" s="24">
        <f t="shared" si="29"/>
        <v>0</v>
      </c>
      <c r="BR36" s="24">
        <f t="shared" si="29"/>
        <v>0</v>
      </c>
      <c r="BS36" s="24">
        <f t="shared" si="29"/>
        <v>0</v>
      </c>
      <c r="BT36" s="24">
        <f t="shared" si="29"/>
        <v>0</v>
      </c>
      <c r="BU36" s="24">
        <f t="shared" si="29"/>
        <v>0</v>
      </c>
      <c r="BV36" s="24">
        <f t="shared" si="29"/>
        <v>0</v>
      </c>
      <c r="BW36" s="24">
        <f t="shared" si="29"/>
        <v>0</v>
      </c>
      <c r="BX36" s="24">
        <f t="shared" si="30"/>
        <v>0</v>
      </c>
      <c r="BY36" s="24">
        <f t="shared" si="30"/>
        <v>0</v>
      </c>
      <c r="BZ36" s="24">
        <f t="shared" si="30"/>
        <v>0</v>
      </c>
      <c r="CA36" s="24">
        <f t="shared" si="30"/>
        <v>0</v>
      </c>
      <c r="CB36" s="24">
        <f t="shared" si="30"/>
        <v>0</v>
      </c>
      <c r="CC36" s="24">
        <f t="shared" si="30"/>
        <v>0</v>
      </c>
      <c r="CD36" s="24">
        <f t="shared" si="30"/>
        <v>3000000</v>
      </c>
      <c r="CE36" s="27">
        <f t="shared" si="6"/>
        <v>0.39461800000000002</v>
      </c>
      <c r="CF36" s="24">
        <f t="shared" si="31"/>
        <v>13022394</v>
      </c>
      <c r="CG36" s="24"/>
      <c r="CH36" s="24"/>
      <c r="CI36" s="24"/>
      <c r="CJ36" s="24"/>
      <c r="CK36" s="24"/>
      <c r="CL36" s="24"/>
      <c r="CM36" s="24"/>
      <c r="CN36" s="24">
        <f>+[4]JULIO!$H$1514</f>
        <v>13022394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0.60538199999999998</v>
      </c>
      <c r="DE36" s="24">
        <f t="shared" si="32"/>
        <v>19977606</v>
      </c>
      <c r="DF36" s="24">
        <f t="shared" si="33"/>
        <v>0</v>
      </c>
      <c r="DG36" s="24">
        <f t="shared" si="33"/>
        <v>0</v>
      </c>
      <c r="DH36" s="24">
        <f t="shared" si="33"/>
        <v>0</v>
      </c>
      <c r="DI36" s="24">
        <f t="shared" si="33"/>
        <v>0</v>
      </c>
      <c r="DJ36" s="24">
        <f t="shared" si="33"/>
        <v>0</v>
      </c>
      <c r="DK36" s="24">
        <f t="shared" si="33"/>
        <v>0</v>
      </c>
      <c r="DL36" s="24">
        <f t="shared" si="33"/>
        <v>0</v>
      </c>
      <c r="DM36" s="24">
        <f t="shared" si="33"/>
        <v>16977606</v>
      </c>
      <c r="DN36" s="24">
        <f t="shared" si="33"/>
        <v>0</v>
      </c>
      <c r="DO36" s="24">
        <f t="shared" si="33"/>
        <v>0</v>
      </c>
      <c r="DP36" s="24">
        <f t="shared" si="33"/>
        <v>0</v>
      </c>
      <c r="DQ36" s="24">
        <f t="shared" si="33"/>
        <v>0</v>
      </c>
      <c r="DR36" s="24">
        <f t="shared" si="33"/>
        <v>0</v>
      </c>
      <c r="DS36" s="24">
        <f t="shared" si="33"/>
        <v>0</v>
      </c>
      <c r="DT36" s="24">
        <f t="shared" si="33"/>
        <v>0</v>
      </c>
      <c r="DU36" s="24">
        <f t="shared" si="33"/>
        <v>0</v>
      </c>
      <c r="DV36" s="24">
        <f t="shared" si="34"/>
        <v>0</v>
      </c>
      <c r="DW36" s="24">
        <f t="shared" si="34"/>
        <v>0</v>
      </c>
      <c r="DX36" s="24">
        <f t="shared" si="34"/>
        <v>0</v>
      </c>
      <c r="DY36" s="24">
        <f t="shared" si="34"/>
        <v>0</v>
      </c>
      <c r="DZ36" s="24">
        <f t="shared" si="34"/>
        <v>0</v>
      </c>
      <c r="EA36" s="24">
        <f t="shared" si="34"/>
        <v>0</v>
      </c>
      <c r="EB36" s="24">
        <f t="shared" si="34"/>
        <v>3000000</v>
      </c>
      <c r="EC36" s="52"/>
      <c r="ED36" s="31">
        <f t="shared" si="11"/>
        <v>33000000</v>
      </c>
      <c r="EE36" s="31">
        <f t="shared" si="15"/>
        <v>33000000</v>
      </c>
      <c r="EF36" s="31">
        <f t="shared" si="16"/>
        <v>33000000</v>
      </c>
    </row>
    <row r="37" spans="1:136" ht="32.450000000000003" customHeight="1" x14ac:dyDescent="0.25">
      <c r="A37" s="208"/>
      <c r="B37" s="231"/>
      <c r="C37" s="20" t="s">
        <v>135</v>
      </c>
      <c r="D37" s="35" t="s">
        <v>136</v>
      </c>
      <c r="E37" s="22">
        <v>410</v>
      </c>
      <c r="F37" s="23" t="s">
        <v>137</v>
      </c>
      <c r="G37" s="24">
        <f t="shared" si="26"/>
        <v>304000000</v>
      </c>
      <c r="H37" s="25">
        <f>+[7]SI!$F28+[7]SI!$F$29</f>
        <v>710000000</v>
      </c>
      <c r="I37" s="25">
        <f t="shared" si="35"/>
        <v>406000000</v>
      </c>
      <c r="J37" s="24"/>
      <c r="K37" s="24"/>
      <c r="L37" s="24"/>
      <c r="M37" s="24"/>
      <c r="N37" s="24"/>
      <c r="O37" s="24"/>
      <c r="P37" s="24"/>
      <c r="Q37" s="24">
        <f>9000000+150000000</f>
        <v>159000000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6">
        <f>35000000+5000000+5000000</f>
        <v>45000000</v>
      </c>
      <c r="AG37" s="27">
        <f t="shared" si="1"/>
        <v>0.76973684210526316</v>
      </c>
      <c r="AH37" s="24">
        <f t="shared" si="27"/>
        <v>234000000</v>
      </c>
      <c r="AI37" s="24"/>
      <c r="AJ37" s="24"/>
      <c r="AK37" s="24"/>
      <c r="AL37" s="24"/>
      <c r="AM37" s="24"/>
      <c r="AN37" s="24"/>
      <c r="AO37" s="24"/>
      <c r="AP37" s="24">
        <f>+[3]SEPTIEMBRE!$Q$1762</f>
        <v>123490000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+[8]AGOSTO!$AB$1630</f>
        <v>65510000</v>
      </c>
      <c r="BB37" s="24"/>
      <c r="BC37" s="24"/>
      <c r="BD37" s="24"/>
      <c r="BE37" s="24">
        <f>+[2]OCTUBRE!$AG$1877</f>
        <v>45000000</v>
      </c>
      <c r="BF37" s="27">
        <f t="shared" si="13"/>
        <v>0.23026315789473684</v>
      </c>
      <c r="BG37" s="24">
        <f t="shared" si="28"/>
        <v>70000000</v>
      </c>
      <c r="BH37" s="24">
        <f t="shared" si="29"/>
        <v>0</v>
      </c>
      <c r="BI37" s="24">
        <f t="shared" si="29"/>
        <v>0</v>
      </c>
      <c r="BJ37" s="24">
        <f t="shared" si="29"/>
        <v>0</v>
      </c>
      <c r="BK37" s="24">
        <f t="shared" si="29"/>
        <v>0</v>
      </c>
      <c r="BL37" s="24">
        <f t="shared" si="29"/>
        <v>0</v>
      </c>
      <c r="BM37" s="24">
        <f t="shared" si="29"/>
        <v>0</v>
      </c>
      <c r="BN37" s="24">
        <f t="shared" si="29"/>
        <v>0</v>
      </c>
      <c r="BO37" s="24">
        <f t="shared" si="29"/>
        <v>35510000</v>
      </c>
      <c r="BP37" s="24">
        <f t="shared" si="29"/>
        <v>0</v>
      </c>
      <c r="BQ37" s="24">
        <f t="shared" si="29"/>
        <v>0</v>
      </c>
      <c r="BR37" s="24">
        <f t="shared" si="29"/>
        <v>0</v>
      </c>
      <c r="BS37" s="24">
        <f t="shared" si="29"/>
        <v>0</v>
      </c>
      <c r="BT37" s="24">
        <f t="shared" si="29"/>
        <v>0</v>
      </c>
      <c r="BU37" s="24">
        <f t="shared" si="29"/>
        <v>0</v>
      </c>
      <c r="BV37" s="24">
        <f t="shared" si="29"/>
        <v>0</v>
      </c>
      <c r="BW37" s="24">
        <f t="shared" si="29"/>
        <v>0</v>
      </c>
      <c r="BX37" s="24">
        <f t="shared" si="30"/>
        <v>0</v>
      </c>
      <c r="BY37" s="24">
        <f t="shared" si="30"/>
        <v>0</v>
      </c>
      <c r="BZ37" s="24">
        <f t="shared" si="30"/>
        <v>34490000</v>
      </c>
      <c r="CA37" s="24">
        <f t="shared" si="30"/>
        <v>0</v>
      </c>
      <c r="CB37" s="24">
        <f t="shared" si="30"/>
        <v>0</v>
      </c>
      <c r="CC37" s="24">
        <f t="shared" si="30"/>
        <v>0</v>
      </c>
      <c r="CD37" s="24">
        <f t="shared" si="30"/>
        <v>0</v>
      </c>
      <c r="CE37" s="27">
        <f t="shared" si="6"/>
        <v>0.36306247368421052</v>
      </c>
      <c r="CF37" s="24">
        <f t="shared" si="31"/>
        <v>110370992</v>
      </c>
      <c r="CG37" s="24"/>
      <c r="CH37" s="24"/>
      <c r="CI37" s="24"/>
      <c r="CJ37" s="24"/>
      <c r="CK37" s="24"/>
      <c r="CL37" s="24"/>
      <c r="CM37" s="24"/>
      <c r="CN37" s="24">
        <f>+[2]OCTUBRE!$H$1908+[2]OCTUBRE!$H$1913+[2]OCTUBRE!$H$1917</f>
        <v>55999996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+[2]OCTUBRE!$H$1878+[2]OCTUBRE!$H$1884+[2]OCTUBRE!$H$1887+[2]OCTUBRE!$H$1898+[2]OCTUBRE!$H$1901</f>
        <v>54370996</v>
      </c>
      <c r="CZ37" s="24"/>
      <c r="DA37" s="24"/>
      <c r="DB37" s="24"/>
      <c r="DC37" s="24"/>
      <c r="DD37" s="27">
        <f t="shared" si="8"/>
        <v>0.63693752631578948</v>
      </c>
      <c r="DE37" s="24">
        <f t="shared" si="32"/>
        <v>193629008</v>
      </c>
      <c r="DF37" s="24">
        <f t="shared" si="33"/>
        <v>0</v>
      </c>
      <c r="DG37" s="24">
        <f t="shared" si="33"/>
        <v>0</v>
      </c>
      <c r="DH37" s="24">
        <f t="shared" si="33"/>
        <v>0</v>
      </c>
      <c r="DI37" s="24">
        <f t="shared" si="33"/>
        <v>0</v>
      </c>
      <c r="DJ37" s="24">
        <f t="shared" si="33"/>
        <v>0</v>
      </c>
      <c r="DK37" s="24">
        <f t="shared" si="33"/>
        <v>0</v>
      </c>
      <c r="DL37" s="24">
        <f t="shared" si="33"/>
        <v>0</v>
      </c>
      <c r="DM37" s="24">
        <f t="shared" si="33"/>
        <v>103000004</v>
      </c>
      <c r="DN37" s="24">
        <f t="shared" si="33"/>
        <v>0</v>
      </c>
      <c r="DO37" s="24">
        <f t="shared" si="33"/>
        <v>0</v>
      </c>
      <c r="DP37" s="24">
        <f t="shared" si="33"/>
        <v>0</v>
      </c>
      <c r="DQ37" s="24">
        <f t="shared" si="33"/>
        <v>0</v>
      </c>
      <c r="DR37" s="24">
        <f t="shared" si="33"/>
        <v>0</v>
      </c>
      <c r="DS37" s="24">
        <f t="shared" si="33"/>
        <v>0</v>
      </c>
      <c r="DT37" s="24">
        <f t="shared" si="33"/>
        <v>0</v>
      </c>
      <c r="DU37" s="24">
        <f t="shared" si="33"/>
        <v>0</v>
      </c>
      <c r="DV37" s="24">
        <f t="shared" si="34"/>
        <v>0</v>
      </c>
      <c r="DW37" s="24">
        <f t="shared" si="34"/>
        <v>0</v>
      </c>
      <c r="DX37" s="24">
        <f t="shared" si="34"/>
        <v>45629004</v>
      </c>
      <c r="DY37" s="24">
        <f t="shared" si="34"/>
        <v>0</v>
      </c>
      <c r="DZ37" s="24">
        <f t="shared" si="34"/>
        <v>0</v>
      </c>
      <c r="EA37" s="24">
        <f t="shared" si="34"/>
        <v>0</v>
      </c>
      <c r="EB37" s="24">
        <f t="shared" si="34"/>
        <v>45000000</v>
      </c>
      <c r="EC37" s="52"/>
      <c r="ED37" s="31">
        <f t="shared" si="11"/>
        <v>304000000</v>
      </c>
      <c r="EE37" s="31">
        <f t="shared" si="15"/>
        <v>304000000</v>
      </c>
      <c r="EF37" s="31">
        <f t="shared" si="16"/>
        <v>304000000</v>
      </c>
    </row>
    <row r="38" spans="1:136" ht="33" customHeight="1" x14ac:dyDescent="0.25">
      <c r="A38" s="208"/>
      <c r="B38" s="231"/>
      <c r="C38" s="20" t="s">
        <v>138</v>
      </c>
      <c r="D38" s="35" t="s">
        <v>139</v>
      </c>
      <c r="E38" s="22">
        <v>410</v>
      </c>
      <c r="F38" s="23" t="s">
        <v>140</v>
      </c>
      <c r="G38" s="24">
        <f t="shared" si="26"/>
        <v>423864203</v>
      </c>
      <c r="H38" s="25">
        <f>+[7]SI!$F30+[7]SI!$F$31</f>
        <v>352500000</v>
      </c>
      <c r="I38" s="25">
        <f t="shared" si="35"/>
        <v>-71364203</v>
      </c>
      <c r="J38" s="24"/>
      <c r="K38" s="24"/>
      <c r="L38" s="24"/>
      <c r="M38" s="24"/>
      <c r="N38" s="24"/>
      <c r="O38" s="24"/>
      <c r="P38" s="24"/>
      <c r="Q38" s="24">
        <f>50000000+1878679+12121321+8708555+20496808</f>
        <v>93205363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50000000-30000000+28658840</f>
        <v>48658840</v>
      </c>
      <c r="AC38" s="24"/>
      <c r="AD38" s="24"/>
      <c r="AE38" s="24"/>
      <c r="AF38" s="26">
        <f>20000000+4000000+30000000+25000000+4000000-2000000</f>
        <v>81000000</v>
      </c>
      <c r="AG38" s="27">
        <f t="shared" si="1"/>
        <v>0.83957126004339644</v>
      </c>
      <c r="AH38" s="24">
        <f t="shared" si="27"/>
        <v>355864203</v>
      </c>
      <c r="AI38" s="24"/>
      <c r="AJ38" s="24"/>
      <c r="AK38" s="24"/>
      <c r="AL38" s="24"/>
      <c r="AM38" s="24"/>
      <c r="AN38" s="24"/>
      <c r="AO38" s="24"/>
      <c r="AP38" s="24">
        <f>+[3]SEPTIEMBRE!$Q$1806</f>
        <v>61205363</v>
      </c>
      <c r="AQ38" s="24">
        <f>+'[9]ENERO 2020'!$R$1417</f>
        <v>45000000</v>
      </c>
      <c r="AR38" s="24">
        <f>+'[9]ENERO 2020'!$S$1417</f>
        <v>60000000</v>
      </c>
      <c r="AS38" s="24">
        <f>+'[9]ENERO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+[3]SEPTIEMBRE!$AB$1806</f>
        <v>48658840</v>
      </c>
      <c r="BB38" s="24"/>
      <c r="BC38" s="24"/>
      <c r="BD38" s="24"/>
      <c r="BE38" s="24">
        <f>+[2]OCTUBRE!$AG$1928</f>
        <v>81000000</v>
      </c>
      <c r="BF38" s="27">
        <f t="shared" si="13"/>
        <v>0.16042873995660356</v>
      </c>
      <c r="BG38" s="24">
        <f t="shared" si="28"/>
        <v>68000000</v>
      </c>
      <c r="BH38" s="24">
        <f t="shared" si="29"/>
        <v>0</v>
      </c>
      <c r="BI38" s="24">
        <f t="shared" si="29"/>
        <v>0</v>
      </c>
      <c r="BJ38" s="24">
        <f t="shared" si="29"/>
        <v>0</v>
      </c>
      <c r="BK38" s="24">
        <f t="shared" si="29"/>
        <v>0</v>
      </c>
      <c r="BL38" s="24">
        <f t="shared" si="29"/>
        <v>0</v>
      </c>
      <c r="BM38" s="24">
        <f t="shared" si="29"/>
        <v>0</v>
      </c>
      <c r="BN38" s="24">
        <f t="shared" si="29"/>
        <v>0</v>
      </c>
      <c r="BO38" s="24">
        <f t="shared" si="29"/>
        <v>32000000</v>
      </c>
      <c r="BP38" s="24">
        <f t="shared" si="29"/>
        <v>15000000</v>
      </c>
      <c r="BQ38" s="24">
        <f t="shared" si="29"/>
        <v>21000000</v>
      </c>
      <c r="BR38" s="24">
        <f t="shared" si="29"/>
        <v>0</v>
      </c>
      <c r="BS38" s="24">
        <f t="shared" si="29"/>
        <v>0</v>
      </c>
      <c r="BT38" s="24">
        <f t="shared" si="29"/>
        <v>0</v>
      </c>
      <c r="BU38" s="24">
        <f t="shared" si="29"/>
        <v>0</v>
      </c>
      <c r="BV38" s="24">
        <f t="shared" si="29"/>
        <v>0</v>
      </c>
      <c r="BW38" s="24">
        <f t="shared" si="29"/>
        <v>0</v>
      </c>
      <c r="BX38" s="24">
        <f t="shared" si="30"/>
        <v>0</v>
      </c>
      <c r="BY38" s="24">
        <f t="shared" si="30"/>
        <v>0</v>
      </c>
      <c r="BZ38" s="24">
        <f t="shared" si="30"/>
        <v>0</v>
      </c>
      <c r="CA38" s="24">
        <f t="shared" si="30"/>
        <v>0</v>
      </c>
      <c r="CB38" s="24">
        <f t="shared" si="30"/>
        <v>0</v>
      </c>
      <c r="CC38" s="24">
        <f t="shared" si="30"/>
        <v>0</v>
      </c>
      <c r="CD38" s="24">
        <f t="shared" si="30"/>
        <v>0</v>
      </c>
      <c r="CE38" s="27">
        <f t="shared" si="6"/>
        <v>0.23397073708533958</v>
      </c>
      <c r="CF38" s="24">
        <f t="shared" si="31"/>
        <v>99171820</v>
      </c>
      <c r="CG38" s="24"/>
      <c r="CH38" s="24"/>
      <c r="CI38" s="24"/>
      <c r="CJ38" s="24"/>
      <c r="CK38" s="24"/>
      <c r="CL38" s="24"/>
      <c r="CM38" s="24"/>
      <c r="CN38" s="24">
        <f>+[2]OCTUBRE!$H$1975+[2]OCTUBRE!$H$1981</f>
        <v>19619054</v>
      </c>
      <c r="CO38" s="24">
        <f>+[2]OCTUBRE!$H$1946</f>
        <v>10324460</v>
      </c>
      <c r="CP38" s="24">
        <f>+'[10]MAYO 2020'!$H$1832</f>
        <v>10652860</v>
      </c>
      <c r="CQ38" s="24">
        <f>+[8]AGOSTO!$H$1690</f>
        <v>15300150</v>
      </c>
      <c r="CR38" s="24"/>
      <c r="CS38" s="24"/>
      <c r="CT38" s="24"/>
      <c r="CU38" s="24"/>
      <c r="CV38" s="24"/>
      <c r="CW38" s="24"/>
      <c r="CX38" s="24"/>
      <c r="CY38" s="24">
        <f>+[2]OCTUBRE!$H$1934+[2]OCTUBRE!$H$1942+[2]OCTUBRE!$H$1978</f>
        <v>17626996</v>
      </c>
      <c r="CZ38" s="24"/>
      <c r="DA38" s="24"/>
      <c r="DB38" s="24"/>
      <c r="DC38" s="24">
        <f>+[2]OCTUBRE!$H$1929+[2]OCTUBRE!$H$1972+[2]OCTUBRE!$H$1984</f>
        <v>25648300</v>
      </c>
      <c r="DD38" s="27">
        <f t="shared" si="8"/>
        <v>0.76602926291466045</v>
      </c>
      <c r="DE38" s="24">
        <f t="shared" si="32"/>
        <v>324692383</v>
      </c>
      <c r="DF38" s="24">
        <f t="shared" si="33"/>
        <v>0</v>
      </c>
      <c r="DG38" s="24">
        <f t="shared" si="33"/>
        <v>0</v>
      </c>
      <c r="DH38" s="24">
        <f t="shared" si="33"/>
        <v>0</v>
      </c>
      <c r="DI38" s="24">
        <f t="shared" si="33"/>
        <v>0</v>
      </c>
      <c r="DJ38" s="24">
        <f t="shared" si="33"/>
        <v>0</v>
      </c>
      <c r="DK38" s="24">
        <f t="shared" si="33"/>
        <v>0</v>
      </c>
      <c r="DL38" s="24">
        <f t="shared" si="33"/>
        <v>0</v>
      </c>
      <c r="DM38" s="24">
        <f t="shared" si="33"/>
        <v>73586309</v>
      </c>
      <c r="DN38" s="24">
        <f t="shared" si="33"/>
        <v>49675540</v>
      </c>
      <c r="DO38" s="24">
        <f t="shared" si="33"/>
        <v>70347140</v>
      </c>
      <c r="DP38" s="24">
        <f t="shared" si="33"/>
        <v>44699850</v>
      </c>
      <c r="DQ38" s="24">
        <f t="shared" si="33"/>
        <v>0</v>
      </c>
      <c r="DR38" s="24">
        <f t="shared" si="33"/>
        <v>0</v>
      </c>
      <c r="DS38" s="24">
        <f t="shared" si="33"/>
        <v>0</v>
      </c>
      <c r="DT38" s="24">
        <f t="shared" si="33"/>
        <v>0</v>
      </c>
      <c r="DU38" s="24">
        <f t="shared" si="33"/>
        <v>0</v>
      </c>
      <c r="DV38" s="24">
        <f t="shared" si="34"/>
        <v>0</v>
      </c>
      <c r="DW38" s="24">
        <f t="shared" si="34"/>
        <v>0</v>
      </c>
      <c r="DX38" s="24">
        <f t="shared" si="34"/>
        <v>31031844</v>
      </c>
      <c r="DY38" s="24">
        <f t="shared" si="34"/>
        <v>0</v>
      </c>
      <c r="DZ38" s="24">
        <f t="shared" si="34"/>
        <v>0</v>
      </c>
      <c r="EA38" s="24">
        <f t="shared" si="34"/>
        <v>0</v>
      </c>
      <c r="EB38" s="24">
        <f t="shared" si="34"/>
        <v>55351700</v>
      </c>
      <c r="ED38" s="31">
        <f t="shared" si="11"/>
        <v>423864203</v>
      </c>
      <c r="EE38" s="31">
        <f t="shared" si="15"/>
        <v>423864203</v>
      </c>
      <c r="EF38" s="31">
        <f t="shared" si="16"/>
        <v>423864203</v>
      </c>
    </row>
    <row r="39" spans="1:136" ht="22.15" customHeight="1" x14ac:dyDescent="0.25">
      <c r="A39" s="208"/>
      <c r="B39" s="231"/>
      <c r="C39" s="20" t="s">
        <v>141</v>
      </c>
      <c r="D39" s="35" t="s">
        <v>142</v>
      </c>
      <c r="E39" s="22">
        <v>410</v>
      </c>
      <c r="F39" s="53" t="s">
        <v>117</v>
      </c>
      <c r="G39" s="24">
        <f t="shared" si="26"/>
        <v>51166666</v>
      </c>
      <c r="H39" s="25">
        <f>+[7]SI!$F32</f>
        <v>36000000</v>
      </c>
      <c r="I39" s="25">
        <f t="shared" si="35"/>
        <v>-15166666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f>30000000+21166666</f>
        <v>51166666</v>
      </c>
      <c r="AC39" s="24"/>
      <c r="AD39" s="24"/>
      <c r="AE39" s="24"/>
      <c r="AF39" s="24">
        <v>0</v>
      </c>
      <c r="AG39" s="27">
        <f t="shared" si="1"/>
        <v>0.95114006450996824</v>
      </c>
      <c r="AH39" s="24">
        <f t="shared" si="27"/>
        <v>48666666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+[4]JULIO!$AB$1608</f>
        <v>48666666</v>
      </c>
      <c r="BB39" s="24"/>
      <c r="BC39" s="24"/>
      <c r="BD39" s="24"/>
      <c r="BE39" s="24"/>
      <c r="BF39" s="27">
        <f t="shared" si="13"/>
        <v>4.8859935490031758E-2</v>
      </c>
      <c r="BG39" s="24">
        <f t="shared" si="28"/>
        <v>2500000</v>
      </c>
      <c r="BH39" s="24">
        <f t="shared" si="29"/>
        <v>0</v>
      </c>
      <c r="BI39" s="24">
        <f t="shared" si="29"/>
        <v>0</v>
      </c>
      <c r="BJ39" s="24">
        <f t="shared" si="29"/>
        <v>0</v>
      </c>
      <c r="BK39" s="24">
        <f t="shared" si="29"/>
        <v>0</v>
      </c>
      <c r="BL39" s="24">
        <f t="shared" si="29"/>
        <v>0</v>
      </c>
      <c r="BM39" s="24">
        <f t="shared" si="29"/>
        <v>0</v>
      </c>
      <c r="BN39" s="24">
        <f t="shared" si="29"/>
        <v>0</v>
      </c>
      <c r="BO39" s="24">
        <f t="shared" si="29"/>
        <v>0</v>
      </c>
      <c r="BP39" s="24">
        <f t="shared" si="29"/>
        <v>0</v>
      </c>
      <c r="BQ39" s="24">
        <f t="shared" si="29"/>
        <v>0</v>
      </c>
      <c r="BR39" s="24">
        <f t="shared" si="29"/>
        <v>0</v>
      </c>
      <c r="BS39" s="24">
        <f t="shared" si="29"/>
        <v>0</v>
      </c>
      <c r="BT39" s="24">
        <f t="shared" si="29"/>
        <v>0</v>
      </c>
      <c r="BU39" s="24">
        <f t="shared" si="29"/>
        <v>0</v>
      </c>
      <c r="BV39" s="24">
        <f t="shared" si="29"/>
        <v>0</v>
      </c>
      <c r="BW39" s="24">
        <f t="shared" si="29"/>
        <v>0</v>
      </c>
      <c r="BX39" s="24">
        <f t="shared" si="30"/>
        <v>0</v>
      </c>
      <c r="BY39" s="24">
        <f t="shared" si="30"/>
        <v>0</v>
      </c>
      <c r="BZ39" s="24">
        <f t="shared" si="30"/>
        <v>2500000</v>
      </c>
      <c r="CA39" s="24">
        <f t="shared" si="30"/>
        <v>0</v>
      </c>
      <c r="CB39" s="24">
        <f t="shared" si="30"/>
        <v>0</v>
      </c>
      <c r="CC39" s="24">
        <f t="shared" si="30"/>
        <v>0</v>
      </c>
      <c r="CD39" s="24">
        <f t="shared" si="30"/>
        <v>0</v>
      </c>
      <c r="CE39" s="27">
        <f t="shared" si="6"/>
        <v>0.9511400058780457</v>
      </c>
      <c r="CF39" s="24">
        <f t="shared" si="31"/>
        <v>48666663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+[8]AGOSTO!$H$1716</f>
        <v>48666663</v>
      </c>
      <c r="CZ39" s="24"/>
      <c r="DA39" s="24"/>
      <c r="DB39" s="24"/>
      <c r="DC39" s="24"/>
      <c r="DD39" s="27">
        <f t="shared" si="8"/>
        <v>4.8859994121954298E-2</v>
      </c>
      <c r="DE39" s="24">
        <f t="shared" si="32"/>
        <v>2500003</v>
      </c>
      <c r="DF39" s="24">
        <f t="shared" si="33"/>
        <v>0</v>
      </c>
      <c r="DG39" s="24">
        <f t="shared" si="33"/>
        <v>0</v>
      </c>
      <c r="DH39" s="24">
        <f t="shared" si="33"/>
        <v>0</v>
      </c>
      <c r="DI39" s="24">
        <f t="shared" si="33"/>
        <v>0</v>
      </c>
      <c r="DJ39" s="24">
        <f t="shared" si="33"/>
        <v>0</v>
      </c>
      <c r="DK39" s="24">
        <f t="shared" si="33"/>
        <v>0</v>
      </c>
      <c r="DL39" s="24">
        <f t="shared" si="33"/>
        <v>0</v>
      </c>
      <c r="DM39" s="24">
        <f t="shared" si="33"/>
        <v>0</v>
      </c>
      <c r="DN39" s="24">
        <f t="shared" si="33"/>
        <v>0</v>
      </c>
      <c r="DO39" s="24">
        <f t="shared" si="33"/>
        <v>0</v>
      </c>
      <c r="DP39" s="24">
        <f t="shared" si="33"/>
        <v>0</v>
      </c>
      <c r="DQ39" s="24">
        <f t="shared" si="33"/>
        <v>0</v>
      </c>
      <c r="DR39" s="24">
        <f t="shared" si="33"/>
        <v>0</v>
      </c>
      <c r="DS39" s="24">
        <f t="shared" si="33"/>
        <v>0</v>
      </c>
      <c r="DT39" s="24">
        <f t="shared" si="33"/>
        <v>0</v>
      </c>
      <c r="DU39" s="24">
        <f t="shared" si="33"/>
        <v>0</v>
      </c>
      <c r="DV39" s="24">
        <f t="shared" si="34"/>
        <v>0</v>
      </c>
      <c r="DW39" s="24">
        <f t="shared" si="34"/>
        <v>0</v>
      </c>
      <c r="DX39" s="24">
        <f t="shared" si="34"/>
        <v>2500003</v>
      </c>
      <c r="DY39" s="24">
        <f t="shared" si="34"/>
        <v>0</v>
      </c>
      <c r="DZ39" s="24">
        <f t="shared" si="34"/>
        <v>0</v>
      </c>
      <c r="EA39" s="24">
        <f t="shared" si="34"/>
        <v>0</v>
      </c>
      <c r="EB39" s="24">
        <f t="shared" si="34"/>
        <v>0</v>
      </c>
      <c r="ED39" s="31">
        <f t="shared" si="11"/>
        <v>51166666</v>
      </c>
      <c r="EE39" s="31">
        <f t="shared" si="15"/>
        <v>51166666</v>
      </c>
      <c r="EF39" s="31">
        <f t="shared" si="16"/>
        <v>51166666</v>
      </c>
    </row>
    <row r="40" spans="1:136" ht="21.6" customHeight="1" x14ac:dyDescent="0.25">
      <c r="A40" s="208"/>
      <c r="B40" s="231"/>
      <c r="C40" s="20" t="s">
        <v>143</v>
      </c>
      <c r="D40" s="35" t="s">
        <v>144</v>
      </c>
      <c r="E40" s="22">
        <v>410</v>
      </c>
      <c r="F40" s="53" t="s">
        <v>117</v>
      </c>
      <c r="G40" s="24">
        <f t="shared" si="26"/>
        <v>50000000</v>
      </c>
      <c r="H40" s="25">
        <f>+[7]SI!$F33</f>
        <v>110500000</v>
      </c>
      <c r="I40" s="25">
        <f t="shared" si="35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7">
        <f t="shared" si="1"/>
        <v>1</v>
      </c>
      <c r="AH40" s="24">
        <f t="shared" si="27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+[8]AGOSTO!$AB$1737</f>
        <v>50000000</v>
      </c>
      <c r="BB40" s="24"/>
      <c r="BC40" s="24"/>
      <c r="BD40" s="24"/>
      <c r="BE40" s="24"/>
      <c r="BF40" s="27">
        <f t="shared" si="13"/>
        <v>0</v>
      </c>
      <c r="BG40" s="24">
        <f t="shared" si="28"/>
        <v>0</v>
      </c>
      <c r="BH40" s="24">
        <f t="shared" si="29"/>
        <v>0</v>
      </c>
      <c r="BI40" s="24">
        <f t="shared" si="29"/>
        <v>0</v>
      </c>
      <c r="BJ40" s="24">
        <f t="shared" si="29"/>
        <v>0</v>
      </c>
      <c r="BK40" s="24">
        <f t="shared" si="29"/>
        <v>0</v>
      </c>
      <c r="BL40" s="24">
        <f t="shared" si="29"/>
        <v>0</v>
      </c>
      <c r="BM40" s="24">
        <f t="shared" si="29"/>
        <v>0</v>
      </c>
      <c r="BN40" s="24">
        <f t="shared" si="29"/>
        <v>0</v>
      </c>
      <c r="BO40" s="24">
        <f t="shared" si="29"/>
        <v>0</v>
      </c>
      <c r="BP40" s="24">
        <f t="shared" si="29"/>
        <v>0</v>
      </c>
      <c r="BQ40" s="24">
        <f t="shared" si="29"/>
        <v>0</v>
      </c>
      <c r="BR40" s="24">
        <f t="shared" si="29"/>
        <v>0</v>
      </c>
      <c r="BS40" s="24">
        <f t="shared" si="29"/>
        <v>0</v>
      </c>
      <c r="BT40" s="24">
        <f t="shared" si="29"/>
        <v>0</v>
      </c>
      <c r="BU40" s="24">
        <f t="shared" si="29"/>
        <v>0</v>
      </c>
      <c r="BV40" s="24">
        <f t="shared" si="29"/>
        <v>0</v>
      </c>
      <c r="BW40" s="24">
        <f t="shared" ref="BW40:BW49" si="36">+Y40-AX40</f>
        <v>0</v>
      </c>
      <c r="BX40" s="24">
        <f t="shared" si="30"/>
        <v>0</v>
      </c>
      <c r="BY40" s="24">
        <f t="shared" si="30"/>
        <v>0</v>
      </c>
      <c r="BZ40" s="24">
        <f t="shared" si="30"/>
        <v>0</v>
      </c>
      <c r="CA40" s="24">
        <f t="shared" si="30"/>
        <v>0</v>
      </c>
      <c r="CB40" s="24">
        <f t="shared" si="30"/>
        <v>0</v>
      </c>
      <c r="CC40" s="24">
        <f t="shared" si="30"/>
        <v>0</v>
      </c>
      <c r="CD40" s="24">
        <f t="shared" si="30"/>
        <v>0</v>
      </c>
      <c r="CE40" s="27">
        <f t="shared" si="6"/>
        <v>0.40003514000000001</v>
      </c>
      <c r="CF40" s="24">
        <f t="shared" si="31"/>
        <v>20001757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+[8]AGOSTO!$H$1735</f>
        <v>20001757</v>
      </c>
      <c r="CZ40" s="24"/>
      <c r="DA40" s="24"/>
      <c r="DB40" s="24"/>
      <c r="DC40" s="24"/>
      <c r="DD40" s="27">
        <f t="shared" si="8"/>
        <v>0.59996486000000004</v>
      </c>
      <c r="DE40" s="24">
        <f t="shared" si="32"/>
        <v>29998243</v>
      </c>
      <c r="DF40" s="24">
        <f t="shared" si="33"/>
        <v>0</v>
      </c>
      <c r="DG40" s="24">
        <f t="shared" si="33"/>
        <v>0</v>
      </c>
      <c r="DH40" s="24">
        <f t="shared" si="33"/>
        <v>0</v>
      </c>
      <c r="DI40" s="24">
        <f t="shared" si="33"/>
        <v>0</v>
      </c>
      <c r="DJ40" s="24">
        <f t="shared" si="33"/>
        <v>0</v>
      </c>
      <c r="DK40" s="24">
        <f t="shared" si="33"/>
        <v>0</v>
      </c>
      <c r="DL40" s="24">
        <f t="shared" si="33"/>
        <v>0</v>
      </c>
      <c r="DM40" s="24">
        <f t="shared" si="33"/>
        <v>0</v>
      </c>
      <c r="DN40" s="24">
        <f t="shared" si="33"/>
        <v>0</v>
      </c>
      <c r="DO40" s="24">
        <f t="shared" si="33"/>
        <v>0</v>
      </c>
      <c r="DP40" s="24">
        <f t="shared" si="33"/>
        <v>0</v>
      </c>
      <c r="DQ40" s="24">
        <f t="shared" si="33"/>
        <v>0</v>
      </c>
      <c r="DR40" s="24">
        <f t="shared" si="33"/>
        <v>0</v>
      </c>
      <c r="DS40" s="24">
        <f t="shared" si="33"/>
        <v>0</v>
      </c>
      <c r="DT40" s="24">
        <f t="shared" si="33"/>
        <v>0</v>
      </c>
      <c r="DU40" s="24">
        <f t="shared" ref="DU40:DU49" si="37">+Y40-CV40</f>
        <v>0</v>
      </c>
      <c r="DV40" s="24">
        <f t="shared" si="34"/>
        <v>0</v>
      </c>
      <c r="DW40" s="24">
        <f t="shared" si="34"/>
        <v>0</v>
      </c>
      <c r="DX40" s="24">
        <f t="shared" si="34"/>
        <v>29998243</v>
      </c>
      <c r="DY40" s="24">
        <f t="shared" si="34"/>
        <v>0</v>
      </c>
      <c r="DZ40" s="24">
        <f t="shared" si="34"/>
        <v>0</v>
      </c>
      <c r="EA40" s="24">
        <f t="shared" si="34"/>
        <v>0</v>
      </c>
      <c r="EB40" s="24">
        <f t="shared" si="34"/>
        <v>0</v>
      </c>
      <c r="ED40" s="31">
        <f t="shared" si="11"/>
        <v>50000000</v>
      </c>
      <c r="EE40" s="31">
        <f t="shared" si="15"/>
        <v>50000000</v>
      </c>
      <c r="EF40" s="31">
        <f t="shared" si="16"/>
        <v>50000000</v>
      </c>
    </row>
    <row r="41" spans="1:136" ht="34.15" customHeight="1" x14ac:dyDescent="0.25">
      <c r="A41" s="208"/>
      <c r="B41" s="231"/>
      <c r="C41" s="20" t="s">
        <v>145</v>
      </c>
      <c r="D41" s="35" t="s">
        <v>146</v>
      </c>
      <c r="E41" s="22">
        <v>410</v>
      </c>
      <c r="F41" s="53" t="s">
        <v>117</v>
      </c>
      <c r="G41" s="24">
        <f t="shared" si="26"/>
        <v>38241931</v>
      </c>
      <c r="H41" s="25">
        <f>+[7]SI!$F34</f>
        <v>62000000</v>
      </c>
      <c r="I41" s="25">
        <f t="shared" si="35"/>
        <v>23758069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f>20000000+8241931</f>
        <v>28241931</v>
      </c>
      <c r="AC41" s="24"/>
      <c r="AD41" s="24"/>
      <c r="AE41" s="24"/>
      <c r="AF41" s="24">
        <v>0</v>
      </c>
      <c r="AG41" s="27">
        <f t="shared" si="1"/>
        <v>0.96710247189139065</v>
      </c>
      <c r="AH41" s="24">
        <f t="shared" si="27"/>
        <v>36983866</v>
      </c>
      <c r="AI41" s="24"/>
      <c r="AJ41" s="24"/>
      <c r="AK41" s="24"/>
      <c r="AL41" s="24"/>
      <c r="AM41" s="24"/>
      <c r="AN41" s="24"/>
      <c r="AO41" s="24"/>
      <c r="AP41" s="24">
        <f>+'[9]ENERO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+[4]JULIO!$AB$1639</f>
        <v>26983866</v>
      </c>
      <c r="BB41" s="24"/>
      <c r="BC41" s="24"/>
      <c r="BD41" s="24"/>
      <c r="BE41" s="24"/>
      <c r="BF41" s="27">
        <f t="shared" si="13"/>
        <v>3.2897528108609353E-2</v>
      </c>
      <c r="BG41" s="24">
        <f t="shared" si="28"/>
        <v>1258065</v>
      </c>
      <c r="BH41" s="24">
        <f t="shared" ref="BH41:BV49" si="38">+J41-AI41</f>
        <v>0</v>
      </c>
      <c r="BI41" s="24">
        <f t="shared" si="38"/>
        <v>0</v>
      </c>
      <c r="BJ41" s="24">
        <f t="shared" si="38"/>
        <v>0</v>
      </c>
      <c r="BK41" s="24">
        <f t="shared" si="38"/>
        <v>0</v>
      </c>
      <c r="BL41" s="24">
        <f t="shared" si="38"/>
        <v>0</v>
      </c>
      <c r="BM41" s="24">
        <f t="shared" si="38"/>
        <v>0</v>
      </c>
      <c r="BN41" s="24">
        <f t="shared" si="38"/>
        <v>0</v>
      </c>
      <c r="BO41" s="24">
        <f t="shared" si="38"/>
        <v>0</v>
      </c>
      <c r="BP41" s="24">
        <f t="shared" si="38"/>
        <v>0</v>
      </c>
      <c r="BQ41" s="24">
        <f t="shared" si="38"/>
        <v>0</v>
      </c>
      <c r="BR41" s="24">
        <f t="shared" si="38"/>
        <v>0</v>
      </c>
      <c r="BS41" s="24">
        <f t="shared" si="38"/>
        <v>0</v>
      </c>
      <c r="BT41" s="24">
        <f t="shared" si="38"/>
        <v>0</v>
      </c>
      <c r="BU41" s="24">
        <f t="shared" si="38"/>
        <v>0</v>
      </c>
      <c r="BV41" s="24">
        <f t="shared" si="38"/>
        <v>0</v>
      </c>
      <c r="BW41" s="24">
        <f t="shared" si="36"/>
        <v>0</v>
      </c>
      <c r="BX41" s="24">
        <f t="shared" si="30"/>
        <v>0</v>
      </c>
      <c r="BY41" s="24">
        <f t="shared" si="30"/>
        <v>0</v>
      </c>
      <c r="BZ41" s="24">
        <f t="shared" si="30"/>
        <v>1258065</v>
      </c>
      <c r="CA41" s="24">
        <f t="shared" si="30"/>
        <v>0</v>
      </c>
      <c r="CB41" s="24">
        <f t="shared" si="30"/>
        <v>0</v>
      </c>
      <c r="CC41" s="24">
        <f t="shared" si="30"/>
        <v>0</v>
      </c>
      <c r="CD41" s="24">
        <f t="shared" si="30"/>
        <v>0</v>
      </c>
      <c r="CE41" s="27">
        <f t="shared" si="6"/>
        <v>0.94159986324958334</v>
      </c>
      <c r="CF41" s="24">
        <f t="shared" si="31"/>
        <v>36008597</v>
      </c>
      <c r="CG41" s="24"/>
      <c r="CH41" s="24"/>
      <c r="CI41" s="24"/>
      <c r="CJ41" s="24"/>
      <c r="CK41" s="24"/>
      <c r="CL41" s="24"/>
      <c r="CM41" s="24"/>
      <c r="CN41" s="24">
        <f>+[8]AGOSTO!$H$1763</f>
        <v>10000000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+[8]AGOSTO!$H$1760+[8]AGOSTO!$H$1768</f>
        <v>26008597</v>
      </c>
      <c r="CZ41" s="24"/>
      <c r="DA41" s="24"/>
      <c r="DB41" s="24"/>
      <c r="DC41" s="24"/>
      <c r="DD41" s="27">
        <f t="shared" si="8"/>
        <v>5.8400136750416665E-2</v>
      </c>
      <c r="DE41" s="24">
        <f t="shared" si="32"/>
        <v>2233334</v>
      </c>
      <c r="DF41" s="24">
        <f t="shared" ref="DF41:DT49" si="39">+J41-CG41</f>
        <v>0</v>
      </c>
      <c r="DG41" s="24">
        <f t="shared" si="39"/>
        <v>0</v>
      </c>
      <c r="DH41" s="24">
        <f t="shared" si="39"/>
        <v>0</v>
      </c>
      <c r="DI41" s="24">
        <f t="shared" si="39"/>
        <v>0</v>
      </c>
      <c r="DJ41" s="24">
        <f t="shared" si="39"/>
        <v>0</v>
      </c>
      <c r="DK41" s="24">
        <f t="shared" si="39"/>
        <v>0</v>
      </c>
      <c r="DL41" s="24">
        <f t="shared" si="39"/>
        <v>0</v>
      </c>
      <c r="DM41" s="24">
        <f t="shared" si="39"/>
        <v>0</v>
      </c>
      <c r="DN41" s="24">
        <f t="shared" si="39"/>
        <v>0</v>
      </c>
      <c r="DO41" s="24">
        <f t="shared" si="39"/>
        <v>0</v>
      </c>
      <c r="DP41" s="24">
        <f t="shared" si="39"/>
        <v>0</v>
      </c>
      <c r="DQ41" s="24">
        <f t="shared" si="39"/>
        <v>0</v>
      </c>
      <c r="DR41" s="24">
        <f t="shared" si="39"/>
        <v>0</v>
      </c>
      <c r="DS41" s="24">
        <f t="shared" si="39"/>
        <v>0</v>
      </c>
      <c r="DT41" s="24">
        <f t="shared" si="39"/>
        <v>0</v>
      </c>
      <c r="DU41" s="24">
        <f t="shared" si="37"/>
        <v>0</v>
      </c>
      <c r="DV41" s="24">
        <f t="shared" si="34"/>
        <v>0</v>
      </c>
      <c r="DW41" s="24">
        <f t="shared" si="34"/>
        <v>0</v>
      </c>
      <c r="DX41" s="24">
        <f t="shared" si="34"/>
        <v>2233334</v>
      </c>
      <c r="DY41" s="24">
        <f t="shared" si="34"/>
        <v>0</v>
      </c>
      <c r="DZ41" s="24">
        <f t="shared" si="34"/>
        <v>0</v>
      </c>
      <c r="EA41" s="24">
        <f t="shared" si="34"/>
        <v>0</v>
      </c>
      <c r="EB41" s="24">
        <f t="shared" si="34"/>
        <v>0</v>
      </c>
      <c r="ED41" s="31">
        <f t="shared" si="11"/>
        <v>38241931</v>
      </c>
      <c r="EE41" s="31">
        <f t="shared" si="15"/>
        <v>38241931</v>
      </c>
      <c r="EF41" s="31">
        <f t="shared" si="16"/>
        <v>38241931</v>
      </c>
    </row>
    <row r="42" spans="1:136" ht="19.899999999999999" customHeight="1" x14ac:dyDescent="0.25">
      <c r="A42" s="208"/>
      <c r="B42" s="231"/>
      <c r="C42" s="20" t="s">
        <v>147</v>
      </c>
      <c r="D42" s="35" t="s">
        <v>148</v>
      </c>
      <c r="E42" s="22">
        <v>410</v>
      </c>
      <c r="F42" s="53" t="s">
        <v>117</v>
      </c>
      <c r="G42" s="24">
        <f t="shared" si="26"/>
        <v>160000000</v>
      </c>
      <c r="H42" s="25">
        <f>+[7]SI!$F36</f>
        <v>324000000</v>
      </c>
      <c r="I42" s="25">
        <f t="shared" si="35"/>
        <v>164000000</v>
      </c>
      <c r="J42" s="24"/>
      <c r="K42" s="24"/>
      <c r="L42" s="24"/>
      <c r="M42" s="24"/>
      <c r="N42" s="24"/>
      <c r="O42" s="24"/>
      <c r="P42" s="24"/>
      <c r="Q42" s="24">
        <f>4000000+92777779</f>
        <v>96777779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>
        <f>53000000+222221+10000000</f>
        <v>63222221</v>
      </c>
      <c r="AC42" s="26"/>
      <c r="AD42" s="26"/>
      <c r="AE42" s="26"/>
      <c r="AF42" s="26">
        <v>0</v>
      </c>
      <c r="AG42" s="27">
        <f t="shared" si="1"/>
        <v>1</v>
      </c>
      <c r="AH42" s="24">
        <f t="shared" si="27"/>
        <v>160000000</v>
      </c>
      <c r="AI42" s="24"/>
      <c r="AJ42" s="24"/>
      <c r="AK42" s="24"/>
      <c r="AL42" s="24"/>
      <c r="AM42" s="24"/>
      <c r="AN42" s="24"/>
      <c r="AO42" s="24"/>
      <c r="AP42" s="24">
        <f>+[3]SEPTIEMBRE!$Q$1935</f>
        <v>96777779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+[4]JULIO!$AB$1656</f>
        <v>63222221</v>
      </c>
      <c r="BB42" s="24"/>
      <c r="BC42" s="24"/>
      <c r="BD42" s="24"/>
      <c r="BE42" s="24"/>
      <c r="BF42" s="27">
        <f t="shared" si="13"/>
        <v>0</v>
      </c>
      <c r="BG42" s="24">
        <f t="shared" si="28"/>
        <v>0</v>
      </c>
      <c r="BH42" s="24">
        <f t="shared" si="38"/>
        <v>0</v>
      </c>
      <c r="BI42" s="24">
        <f t="shared" si="38"/>
        <v>0</v>
      </c>
      <c r="BJ42" s="24">
        <f t="shared" si="38"/>
        <v>0</v>
      </c>
      <c r="BK42" s="24">
        <f t="shared" si="38"/>
        <v>0</v>
      </c>
      <c r="BL42" s="24">
        <f t="shared" si="38"/>
        <v>0</v>
      </c>
      <c r="BM42" s="24">
        <f t="shared" si="38"/>
        <v>0</v>
      </c>
      <c r="BN42" s="24">
        <f t="shared" si="38"/>
        <v>0</v>
      </c>
      <c r="BO42" s="24">
        <f t="shared" si="38"/>
        <v>0</v>
      </c>
      <c r="BP42" s="24">
        <f t="shared" si="38"/>
        <v>0</v>
      </c>
      <c r="BQ42" s="24">
        <f t="shared" si="38"/>
        <v>0</v>
      </c>
      <c r="BR42" s="24">
        <f t="shared" si="38"/>
        <v>0</v>
      </c>
      <c r="BS42" s="24">
        <f t="shared" si="38"/>
        <v>0</v>
      </c>
      <c r="BT42" s="24">
        <f t="shared" si="38"/>
        <v>0</v>
      </c>
      <c r="BU42" s="24">
        <f t="shared" si="38"/>
        <v>0</v>
      </c>
      <c r="BV42" s="24">
        <f t="shared" si="38"/>
        <v>0</v>
      </c>
      <c r="BW42" s="24">
        <f t="shared" si="36"/>
        <v>0</v>
      </c>
      <c r="BX42" s="24">
        <f t="shared" si="30"/>
        <v>0</v>
      </c>
      <c r="BY42" s="24">
        <f t="shared" si="30"/>
        <v>0</v>
      </c>
      <c r="BZ42" s="24">
        <f t="shared" si="30"/>
        <v>0</v>
      </c>
      <c r="CA42" s="24">
        <f t="shared" si="30"/>
        <v>0</v>
      </c>
      <c r="CB42" s="24">
        <f t="shared" si="30"/>
        <v>0</v>
      </c>
      <c r="CC42" s="24">
        <f t="shared" si="30"/>
        <v>0</v>
      </c>
      <c r="CD42" s="24">
        <f t="shared" si="30"/>
        <v>0</v>
      </c>
      <c r="CE42" s="27">
        <f t="shared" si="6"/>
        <v>0.75198057500000004</v>
      </c>
      <c r="CF42" s="24">
        <f t="shared" si="31"/>
        <v>120316892</v>
      </c>
      <c r="CG42" s="24"/>
      <c r="CH42" s="24"/>
      <c r="CI42" s="24"/>
      <c r="CJ42" s="24"/>
      <c r="CK42" s="24"/>
      <c r="CL42" s="24"/>
      <c r="CM42" s="24"/>
      <c r="CN42" s="24">
        <f>[2]OCTUBRE!$H$2058-CY42</f>
        <v>59155921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+[2]OCTUBRE!$H$2061+[2]OCTUBRE!$H$2074</f>
        <v>61160971</v>
      </c>
      <c r="CZ42" s="24"/>
      <c r="DA42" s="24"/>
      <c r="DB42" s="24"/>
      <c r="DC42" s="24"/>
      <c r="DD42" s="27">
        <f t="shared" si="8"/>
        <v>0.24801942499999996</v>
      </c>
      <c r="DE42" s="24">
        <f t="shared" si="32"/>
        <v>39683108</v>
      </c>
      <c r="DF42" s="24">
        <f t="shared" si="39"/>
        <v>0</v>
      </c>
      <c r="DG42" s="24">
        <f t="shared" si="39"/>
        <v>0</v>
      </c>
      <c r="DH42" s="24">
        <f t="shared" si="39"/>
        <v>0</v>
      </c>
      <c r="DI42" s="24">
        <f t="shared" si="39"/>
        <v>0</v>
      </c>
      <c r="DJ42" s="24">
        <f t="shared" si="39"/>
        <v>0</v>
      </c>
      <c r="DK42" s="24">
        <f t="shared" si="39"/>
        <v>0</v>
      </c>
      <c r="DL42" s="24">
        <f t="shared" si="39"/>
        <v>0</v>
      </c>
      <c r="DM42" s="24">
        <f t="shared" si="39"/>
        <v>37621858</v>
      </c>
      <c r="DN42" s="24">
        <f t="shared" si="39"/>
        <v>0</v>
      </c>
      <c r="DO42" s="24">
        <f t="shared" si="39"/>
        <v>0</v>
      </c>
      <c r="DP42" s="24">
        <f t="shared" si="39"/>
        <v>0</v>
      </c>
      <c r="DQ42" s="24">
        <f t="shared" si="39"/>
        <v>0</v>
      </c>
      <c r="DR42" s="24">
        <f t="shared" si="39"/>
        <v>0</v>
      </c>
      <c r="DS42" s="24">
        <f t="shared" si="39"/>
        <v>0</v>
      </c>
      <c r="DT42" s="24">
        <f t="shared" si="39"/>
        <v>0</v>
      </c>
      <c r="DU42" s="24">
        <f t="shared" si="37"/>
        <v>0</v>
      </c>
      <c r="DV42" s="24">
        <f t="shared" si="34"/>
        <v>0</v>
      </c>
      <c r="DW42" s="24">
        <f t="shared" si="34"/>
        <v>0</v>
      </c>
      <c r="DX42" s="24">
        <f t="shared" si="34"/>
        <v>2061250</v>
      </c>
      <c r="DY42" s="24">
        <f t="shared" si="34"/>
        <v>0</v>
      </c>
      <c r="DZ42" s="24">
        <f t="shared" si="34"/>
        <v>0</v>
      </c>
      <c r="EA42" s="24">
        <f t="shared" si="34"/>
        <v>0</v>
      </c>
      <c r="EB42" s="24">
        <f t="shared" si="34"/>
        <v>0</v>
      </c>
      <c r="ED42" s="31">
        <f t="shared" si="11"/>
        <v>160000000</v>
      </c>
      <c r="EE42" s="31">
        <f t="shared" si="15"/>
        <v>160000000</v>
      </c>
      <c r="EF42" s="31">
        <f t="shared" si="16"/>
        <v>160000000</v>
      </c>
    </row>
    <row r="43" spans="1:136" ht="21" customHeight="1" x14ac:dyDescent="0.25">
      <c r="A43" s="208"/>
      <c r="B43" s="231"/>
      <c r="C43" s="20" t="s">
        <v>149</v>
      </c>
      <c r="D43" s="35" t="s">
        <v>150</v>
      </c>
      <c r="E43" s="22">
        <v>410</v>
      </c>
      <c r="F43" s="53" t="s">
        <v>117</v>
      </c>
      <c r="G43" s="24">
        <f t="shared" si="26"/>
        <v>424081566</v>
      </c>
      <c r="H43" s="25">
        <f>+[7]SI!$F37</f>
        <v>600000000</v>
      </c>
      <c r="I43" s="25">
        <f t="shared" si="35"/>
        <v>175918434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>
        <v>74000000</v>
      </c>
      <c r="AC43" s="26"/>
      <c r="AD43" s="26">
        <f>62217986+48013200+88261395+36141198+61747106+23700681</f>
        <v>320081566</v>
      </c>
      <c r="AE43" s="26"/>
      <c r="AF43" s="26">
        <v>0</v>
      </c>
      <c r="AG43" s="27">
        <f t="shared" si="1"/>
        <v>0.9309603968968555</v>
      </c>
      <c r="AH43" s="24">
        <f t="shared" si="27"/>
        <v>394803143</v>
      </c>
      <c r="AI43" s="24"/>
      <c r="AJ43" s="24"/>
      <c r="AK43" s="24"/>
      <c r="AL43" s="24"/>
      <c r="AM43" s="24"/>
      <c r="AN43" s="24"/>
      <c r="AO43" s="24"/>
      <c r="AP43" s="24">
        <f>+'[11]ABRIL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+[4]JULIO!$AB$1675</f>
        <v>73999500</v>
      </c>
      <c r="BB43" s="24"/>
      <c r="BC43" s="24">
        <f>+[2]OCTUBRE!$AD$2090</f>
        <v>290803643</v>
      </c>
      <c r="BD43" s="24"/>
      <c r="BE43" s="24"/>
      <c r="BF43" s="27">
        <f t="shared" si="13"/>
        <v>6.9039603103144498E-2</v>
      </c>
      <c r="BG43" s="24">
        <f t="shared" si="28"/>
        <v>29278423</v>
      </c>
      <c r="BH43" s="24">
        <f t="shared" si="38"/>
        <v>0</v>
      </c>
      <c r="BI43" s="24">
        <f t="shared" si="38"/>
        <v>0</v>
      </c>
      <c r="BJ43" s="24">
        <f t="shared" si="38"/>
        <v>0</v>
      </c>
      <c r="BK43" s="24">
        <f t="shared" si="38"/>
        <v>0</v>
      </c>
      <c r="BL43" s="24">
        <f t="shared" si="38"/>
        <v>0</v>
      </c>
      <c r="BM43" s="24">
        <f t="shared" si="38"/>
        <v>0</v>
      </c>
      <c r="BN43" s="24">
        <f t="shared" si="38"/>
        <v>0</v>
      </c>
      <c r="BO43" s="24">
        <f t="shared" si="38"/>
        <v>0</v>
      </c>
      <c r="BP43" s="24">
        <f t="shared" si="38"/>
        <v>0</v>
      </c>
      <c r="BQ43" s="24">
        <f t="shared" si="38"/>
        <v>0</v>
      </c>
      <c r="BR43" s="24">
        <f t="shared" si="38"/>
        <v>0</v>
      </c>
      <c r="BS43" s="24">
        <f t="shared" si="38"/>
        <v>0</v>
      </c>
      <c r="BT43" s="24">
        <f t="shared" si="38"/>
        <v>0</v>
      </c>
      <c r="BU43" s="24">
        <f t="shared" si="38"/>
        <v>0</v>
      </c>
      <c r="BV43" s="24">
        <f t="shared" si="38"/>
        <v>0</v>
      </c>
      <c r="BW43" s="24">
        <f t="shared" si="36"/>
        <v>0</v>
      </c>
      <c r="BX43" s="24">
        <f t="shared" si="30"/>
        <v>0</v>
      </c>
      <c r="BY43" s="24">
        <f t="shared" si="30"/>
        <v>0</v>
      </c>
      <c r="BZ43" s="24">
        <f t="shared" si="30"/>
        <v>500</v>
      </c>
      <c r="CA43" s="24">
        <f t="shared" si="30"/>
        <v>0</v>
      </c>
      <c r="CB43" s="24">
        <f t="shared" si="30"/>
        <v>29277923</v>
      </c>
      <c r="CC43" s="24">
        <f t="shared" si="30"/>
        <v>0</v>
      </c>
      <c r="CD43" s="24">
        <f t="shared" si="30"/>
        <v>0</v>
      </c>
      <c r="CE43" s="27">
        <f t="shared" si="6"/>
        <v>0.54771148906764788</v>
      </c>
      <c r="CF43" s="24">
        <f t="shared" si="31"/>
        <v>232274346</v>
      </c>
      <c r="CG43" s="24"/>
      <c r="CH43" s="24"/>
      <c r="CI43" s="24"/>
      <c r="CJ43" s="24"/>
      <c r="CK43" s="24"/>
      <c r="CL43" s="24"/>
      <c r="CM43" s="24"/>
      <c r="CN43" s="24">
        <f>+[3]SEPTIEMBRE!$H$2029+[3]SEPTIEMBRE!$H$2043</f>
        <v>20000000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+[3]SEPTIEMBRE!$H$1961+[3]SEPTIEMBRE!$H$1970+[3]SEPTIEMBRE!$H$1974+[3]SEPTIEMBRE!$H$1977+[3]SEPTIEMBRE!$H$1982+[3]SEPTIEMBRE!$H$2047</f>
        <v>49642800</v>
      </c>
      <c r="CZ43" s="24"/>
      <c r="DA43" s="24">
        <f>+[2]OCTUBRE!$H$2123+[2]OCTUBRE!$H$2126+[2]OCTUBRE!$H$2141+[2]OCTUBRE!$H$2149+[2]OCTUBRE!$H$2166+[2]OCTUBRE!$H$2183+[2]OCTUBRE!$H$2203+[2]OCTUBRE!$H$2211</f>
        <v>162631546</v>
      </c>
      <c r="DB43" s="24"/>
      <c r="DC43" s="24"/>
      <c r="DD43" s="27">
        <f t="shared" si="8"/>
        <v>0.45228851093235212</v>
      </c>
      <c r="DE43" s="24">
        <f t="shared" si="32"/>
        <v>191807220</v>
      </c>
      <c r="DF43" s="24">
        <f t="shared" si="39"/>
        <v>0</v>
      </c>
      <c r="DG43" s="24">
        <f t="shared" si="39"/>
        <v>0</v>
      </c>
      <c r="DH43" s="24">
        <f t="shared" si="39"/>
        <v>0</v>
      </c>
      <c r="DI43" s="24">
        <f t="shared" si="39"/>
        <v>0</v>
      </c>
      <c r="DJ43" s="24">
        <f t="shared" si="39"/>
        <v>0</v>
      </c>
      <c r="DK43" s="24">
        <f t="shared" si="39"/>
        <v>0</v>
      </c>
      <c r="DL43" s="24">
        <f t="shared" si="39"/>
        <v>0</v>
      </c>
      <c r="DM43" s="24">
        <f t="shared" si="39"/>
        <v>10000000</v>
      </c>
      <c r="DN43" s="24">
        <f t="shared" si="39"/>
        <v>0</v>
      </c>
      <c r="DO43" s="24">
        <f t="shared" si="39"/>
        <v>0</v>
      </c>
      <c r="DP43" s="24">
        <f t="shared" si="39"/>
        <v>0</v>
      </c>
      <c r="DQ43" s="24">
        <f t="shared" si="39"/>
        <v>0</v>
      </c>
      <c r="DR43" s="24">
        <f t="shared" si="39"/>
        <v>0</v>
      </c>
      <c r="DS43" s="24">
        <f t="shared" si="39"/>
        <v>0</v>
      </c>
      <c r="DT43" s="24">
        <f t="shared" si="39"/>
        <v>0</v>
      </c>
      <c r="DU43" s="24">
        <f t="shared" si="37"/>
        <v>0</v>
      </c>
      <c r="DV43" s="24">
        <f t="shared" si="34"/>
        <v>0</v>
      </c>
      <c r="DW43" s="24">
        <f t="shared" si="34"/>
        <v>0</v>
      </c>
      <c r="DX43" s="24">
        <f t="shared" si="34"/>
        <v>24357200</v>
      </c>
      <c r="DY43" s="24">
        <f t="shared" si="34"/>
        <v>0</v>
      </c>
      <c r="DZ43" s="24">
        <f t="shared" si="34"/>
        <v>157450020</v>
      </c>
      <c r="EA43" s="24">
        <f t="shared" si="34"/>
        <v>0</v>
      </c>
      <c r="EB43" s="24">
        <f t="shared" si="34"/>
        <v>0</v>
      </c>
      <c r="ED43" s="31">
        <f t="shared" si="11"/>
        <v>424081566</v>
      </c>
      <c r="EE43" s="31">
        <f t="shared" si="15"/>
        <v>424081566</v>
      </c>
      <c r="EF43" s="31">
        <f t="shared" si="16"/>
        <v>424081566</v>
      </c>
    </row>
    <row r="44" spans="1:136" ht="18.600000000000001" customHeight="1" x14ac:dyDescent="0.25">
      <c r="A44" s="208"/>
      <c r="B44" s="228" t="s">
        <v>151</v>
      </c>
      <c r="C44" s="20" t="s">
        <v>152</v>
      </c>
      <c r="D44" s="35" t="s">
        <v>153</v>
      </c>
      <c r="E44" s="22">
        <v>410</v>
      </c>
      <c r="F44" s="53" t="s">
        <v>117</v>
      </c>
      <c r="G44" s="24">
        <f t="shared" si="26"/>
        <v>56000000</v>
      </c>
      <c r="H44" s="25">
        <f>+[7]SI!$F43</f>
        <v>56000000</v>
      </c>
      <c r="I44" s="25">
        <f t="shared" si="35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6">
        <v>0</v>
      </c>
      <c r="AG44" s="27">
        <f t="shared" si="1"/>
        <v>0.92416657142857139</v>
      </c>
      <c r="AH44" s="24">
        <f t="shared" si="27"/>
        <v>51753328</v>
      </c>
      <c r="AI44" s="24"/>
      <c r="AJ44" s="24"/>
      <c r="AK44" s="24"/>
      <c r="AL44" s="24"/>
      <c r="AM44" s="24"/>
      <c r="AN44" s="24"/>
      <c r="AO44" s="24"/>
      <c r="AP44" s="24">
        <f>+[4]JULIO!$Q$1792</f>
        <v>51753328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7">
        <f t="shared" si="13"/>
        <v>7.5833428571428607E-2</v>
      </c>
      <c r="BG44" s="24">
        <f t="shared" si="28"/>
        <v>4246672</v>
      </c>
      <c r="BH44" s="24">
        <f t="shared" si="38"/>
        <v>0</v>
      </c>
      <c r="BI44" s="24">
        <f t="shared" si="38"/>
        <v>0</v>
      </c>
      <c r="BJ44" s="24">
        <f t="shared" si="38"/>
        <v>0</v>
      </c>
      <c r="BK44" s="24">
        <f t="shared" si="38"/>
        <v>0</v>
      </c>
      <c r="BL44" s="24">
        <f t="shared" si="38"/>
        <v>0</v>
      </c>
      <c r="BM44" s="24">
        <f t="shared" si="38"/>
        <v>0</v>
      </c>
      <c r="BN44" s="24">
        <f t="shared" si="38"/>
        <v>0</v>
      </c>
      <c r="BO44" s="24">
        <f t="shared" si="38"/>
        <v>4246672</v>
      </c>
      <c r="BP44" s="24">
        <f t="shared" si="38"/>
        <v>0</v>
      </c>
      <c r="BQ44" s="24">
        <f t="shared" si="38"/>
        <v>0</v>
      </c>
      <c r="BR44" s="24">
        <f t="shared" si="38"/>
        <v>0</v>
      </c>
      <c r="BS44" s="24">
        <f t="shared" si="38"/>
        <v>0</v>
      </c>
      <c r="BT44" s="24">
        <f t="shared" si="38"/>
        <v>0</v>
      </c>
      <c r="BU44" s="24">
        <f t="shared" si="38"/>
        <v>0</v>
      </c>
      <c r="BV44" s="24">
        <f t="shared" si="38"/>
        <v>0</v>
      </c>
      <c r="BW44" s="24">
        <f t="shared" si="36"/>
        <v>0</v>
      </c>
      <c r="BX44" s="24">
        <f t="shared" si="30"/>
        <v>0</v>
      </c>
      <c r="BY44" s="24">
        <f t="shared" si="30"/>
        <v>0</v>
      </c>
      <c r="BZ44" s="24">
        <f t="shared" si="30"/>
        <v>0</v>
      </c>
      <c r="CA44" s="24">
        <f t="shared" si="30"/>
        <v>0</v>
      </c>
      <c r="CB44" s="24">
        <f t="shared" si="30"/>
        <v>0</v>
      </c>
      <c r="CC44" s="24">
        <f t="shared" si="30"/>
        <v>0</v>
      </c>
      <c r="CD44" s="24">
        <f t="shared" si="30"/>
        <v>0</v>
      </c>
      <c r="CE44" s="27">
        <f t="shared" si="6"/>
        <v>0.48754157142857141</v>
      </c>
      <c r="CF44" s="24">
        <f t="shared" si="31"/>
        <v>27302328</v>
      </c>
      <c r="CG44" s="24"/>
      <c r="CH44" s="24"/>
      <c r="CI44" s="24"/>
      <c r="CJ44" s="24"/>
      <c r="CK44" s="24"/>
      <c r="CL44" s="24"/>
      <c r="CM44" s="24"/>
      <c r="CN44" s="24">
        <f>+[4]JULIO!$H$1790</f>
        <v>27302328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7">
        <f t="shared" si="8"/>
        <v>0.51245842857142865</v>
      </c>
      <c r="DE44" s="24">
        <f t="shared" si="32"/>
        <v>28697672</v>
      </c>
      <c r="DF44" s="24">
        <f t="shared" si="39"/>
        <v>0</v>
      </c>
      <c r="DG44" s="24">
        <f t="shared" si="39"/>
        <v>0</v>
      </c>
      <c r="DH44" s="24">
        <f t="shared" si="39"/>
        <v>0</v>
      </c>
      <c r="DI44" s="24">
        <f t="shared" si="39"/>
        <v>0</v>
      </c>
      <c r="DJ44" s="24">
        <f t="shared" si="39"/>
        <v>0</v>
      </c>
      <c r="DK44" s="24">
        <f t="shared" si="39"/>
        <v>0</v>
      </c>
      <c r="DL44" s="24">
        <f t="shared" si="39"/>
        <v>0</v>
      </c>
      <c r="DM44" s="24">
        <f t="shared" si="39"/>
        <v>28697672</v>
      </c>
      <c r="DN44" s="24">
        <f t="shared" si="39"/>
        <v>0</v>
      </c>
      <c r="DO44" s="24">
        <f t="shared" si="39"/>
        <v>0</v>
      </c>
      <c r="DP44" s="24">
        <f t="shared" si="39"/>
        <v>0</v>
      </c>
      <c r="DQ44" s="24">
        <f t="shared" si="39"/>
        <v>0</v>
      </c>
      <c r="DR44" s="24">
        <f t="shared" si="39"/>
        <v>0</v>
      </c>
      <c r="DS44" s="24">
        <f t="shared" si="39"/>
        <v>0</v>
      </c>
      <c r="DT44" s="24">
        <f t="shared" si="39"/>
        <v>0</v>
      </c>
      <c r="DU44" s="24">
        <f t="shared" si="37"/>
        <v>0</v>
      </c>
      <c r="DV44" s="24">
        <f t="shared" si="34"/>
        <v>0</v>
      </c>
      <c r="DW44" s="24">
        <f t="shared" si="34"/>
        <v>0</v>
      </c>
      <c r="DX44" s="24">
        <f t="shared" si="34"/>
        <v>0</v>
      </c>
      <c r="DY44" s="24">
        <f t="shared" si="34"/>
        <v>0</v>
      </c>
      <c r="DZ44" s="24">
        <f t="shared" si="34"/>
        <v>0</v>
      </c>
      <c r="EA44" s="24">
        <f t="shared" si="34"/>
        <v>0</v>
      </c>
      <c r="EB44" s="24">
        <f t="shared" si="34"/>
        <v>0</v>
      </c>
      <c r="ED44" s="31">
        <f t="shared" si="11"/>
        <v>56000000</v>
      </c>
      <c r="EE44" s="31">
        <f t="shared" si="15"/>
        <v>56000000</v>
      </c>
      <c r="EF44" s="31">
        <f t="shared" si="16"/>
        <v>56000000</v>
      </c>
    </row>
    <row r="45" spans="1:136" ht="17.45" customHeight="1" x14ac:dyDescent="0.25">
      <c r="A45" s="208"/>
      <c r="B45" s="229"/>
      <c r="C45" s="20" t="s">
        <v>154</v>
      </c>
      <c r="D45" s="35" t="s">
        <v>155</v>
      </c>
      <c r="E45" s="22">
        <v>410</v>
      </c>
      <c r="F45" s="53" t="s">
        <v>117</v>
      </c>
      <c r="G45" s="24">
        <f t="shared" si="26"/>
        <v>50000000</v>
      </c>
      <c r="H45" s="25">
        <f>+[7]SI!$F44</f>
        <v>50000000</v>
      </c>
      <c r="I45" s="25">
        <f t="shared" si="35"/>
        <v>0</v>
      </c>
      <c r="J45" s="24"/>
      <c r="K45" s="24"/>
      <c r="L45" s="24"/>
      <c r="M45" s="24"/>
      <c r="N45" s="24"/>
      <c r="O45" s="24"/>
      <c r="P45" s="24"/>
      <c r="Q45" s="24">
        <f>+'[12]PLAN OPERATIVO 2020 ajustes PDI'!$S$14-Q44</f>
        <v>9574140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4">
        <v>40425860</v>
      </c>
      <c r="AC45" s="26"/>
      <c r="AD45" s="26"/>
      <c r="AE45" s="26"/>
      <c r="AF45" s="26">
        <v>0</v>
      </c>
      <c r="AG45" s="27">
        <f t="shared" si="1"/>
        <v>1</v>
      </c>
      <c r="AH45" s="24">
        <f t="shared" si="27"/>
        <v>50000000</v>
      </c>
      <c r="AI45" s="24"/>
      <c r="AJ45" s="24"/>
      <c r="AK45" s="24"/>
      <c r="AL45" s="24"/>
      <c r="AM45" s="24"/>
      <c r="AN45" s="24"/>
      <c r="AO45" s="24"/>
      <c r="AP45" s="24">
        <f>+'[11]ABRIL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+'[11]ABRIL 2020'!$AB$2339</f>
        <v>40425860</v>
      </c>
      <c r="BB45" s="24"/>
      <c r="BC45" s="24"/>
      <c r="BD45" s="24"/>
      <c r="BE45" s="24"/>
      <c r="BF45" s="27">
        <f t="shared" si="13"/>
        <v>0</v>
      </c>
      <c r="BG45" s="24">
        <f t="shared" si="28"/>
        <v>0</v>
      </c>
      <c r="BH45" s="24">
        <f t="shared" si="38"/>
        <v>0</v>
      </c>
      <c r="BI45" s="24">
        <f t="shared" si="38"/>
        <v>0</v>
      </c>
      <c r="BJ45" s="24">
        <f t="shared" si="38"/>
        <v>0</v>
      </c>
      <c r="BK45" s="24">
        <f t="shared" si="38"/>
        <v>0</v>
      </c>
      <c r="BL45" s="24">
        <f t="shared" si="38"/>
        <v>0</v>
      </c>
      <c r="BM45" s="24">
        <f t="shared" si="38"/>
        <v>0</v>
      </c>
      <c r="BN45" s="24">
        <f t="shared" si="38"/>
        <v>0</v>
      </c>
      <c r="BO45" s="24">
        <f t="shared" si="38"/>
        <v>0</v>
      </c>
      <c r="BP45" s="24">
        <f t="shared" si="38"/>
        <v>0</v>
      </c>
      <c r="BQ45" s="24">
        <f t="shared" si="38"/>
        <v>0</v>
      </c>
      <c r="BR45" s="24">
        <f t="shared" si="38"/>
        <v>0</v>
      </c>
      <c r="BS45" s="24">
        <f t="shared" si="38"/>
        <v>0</v>
      </c>
      <c r="BT45" s="24">
        <f t="shared" si="38"/>
        <v>0</v>
      </c>
      <c r="BU45" s="24">
        <f t="shared" si="38"/>
        <v>0</v>
      </c>
      <c r="BV45" s="24">
        <f t="shared" si="38"/>
        <v>0</v>
      </c>
      <c r="BW45" s="24">
        <f t="shared" si="36"/>
        <v>0</v>
      </c>
      <c r="BX45" s="24">
        <f t="shared" si="30"/>
        <v>0</v>
      </c>
      <c r="BY45" s="24">
        <f t="shared" si="30"/>
        <v>0</v>
      </c>
      <c r="BZ45" s="24">
        <f t="shared" si="30"/>
        <v>0</v>
      </c>
      <c r="CA45" s="24">
        <f t="shared" si="30"/>
        <v>0</v>
      </c>
      <c r="CB45" s="24">
        <f t="shared" si="30"/>
        <v>0</v>
      </c>
      <c r="CC45" s="24">
        <f t="shared" si="30"/>
        <v>0</v>
      </c>
      <c r="CD45" s="24">
        <f t="shared" si="30"/>
        <v>0</v>
      </c>
      <c r="CE45" s="27">
        <f t="shared" si="6"/>
        <v>0.24903996</v>
      </c>
      <c r="CF45" s="24">
        <f t="shared" si="31"/>
        <v>12451998</v>
      </c>
      <c r="CG45" s="24"/>
      <c r="CH45" s="24"/>
      <c r="CI45" s="24"/>
      <c r="CJ45" s="24"/>
      <c r="CK45" s="24"/>
      <c r="CL45" s="24"/>
      <c r="CM45" s="24"/>
      <c r="CN45" s="24">
        <f>+'[11]ABRIL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+'[11]ABRIL 2020'!$H$2344+[3]SEPTIEMBRE!$H$2121</f>
        <v>3152000</v>
      </c>
      <c r="CZ45" s="24"/>
      <c r="DA45" s="24"/>
      <c r="DB45" s="24"/>
      <c r="DC45" s="24"/>
      <c r="DD45" s="27">
        <f t="shared" si="8"/>
        <v>0.75096004000000005</v>
      </c>
      <c r="DE45" s="24">
        <f t="shared" si="32"/>
        <v>37548002</v>
      </c>
      <c r="DF45" s="24">
        <f t="shared" si="39"/>
        <v>0</v>
      </c>
      <c r="DG45" s="24">
        <f t="shared" si="39"/>
        <v>0</v>
      </c>
      <c r="DH45" s="24">
        <f t="shared" si="39"/>
        <v>0</v>
      </c>
      <c r="DI45" s="24">
        <f t="shared" si="39"/>
        <v>0</v>
      </c>
      <c r="DJ45" s="24">
        <f t="shared" si="39"/>
        <v>0</v>
      </c>
      <c r="DK45" s="24">
        <f t="shared" si="39"/>
        <v>0</v>
      </c>
      <c r="DL45" s="24">
        <f t="shared" si="39"/>
        <v>0</v>
      </c>
      <c r="DM45" s="24">
        <f t="shared" si="39"/>
        <v>274142</v>
      </c>
      <c r="DN45" s="24">
        <f t="shared" si="39"/>
        <v>0</v>
      </c>
      <c r="DO45" s="24">
        <f t="shared" si="39"/>
        <v>0</v>
      </c>
      <c r="DP45" s="24">
        <f t="shared" si="39"/>
        <v>0</v>
      </c>
      <c r="DQ45" s="24">
        <f t="shared" si="39"/>
        <v>0</v>
      </c>
      <c r="DR45" s="24">
        <f t="shared" si="39"/>
        <v>0</v>
      </c>
      <c r="DS45" s="24">
        <f t="shared" si="39"/>
        <v>0</v>
      </c>
      <c r="DT45" s="24">
        <f t="shared" si="39"/>
        <v>0</v>
      </c>
      <c r="DU45" s="24">
        <f t="shared" si="37"/>
        <v>0</v>
      </c>
      <c r="DV45" s="24">
        <f t="shared" si="34"/>
        <v>0</v>
      </c>
      <c r="DW45" s="24">
        <f t="shared" si="34"/>
        <v>0</v>
      </c>
      <c r="DX45" s="24">
        <f t="shared" si="34"/>
        <v>37273860</v>
      </c>
      <c r="DY45" s="24">
        <f t="shared" si="34"/>
        <v>0</v>
      </c>
      <c r="DZ45" s="24">
        <f t="shared" si="34"/>
        <v>0</v>
      </c>
      <c r="EA45" s="24">
        <f t="shared" si="34"/>
        <v>0</v>
      </c>
      <c r="EB45" s="24">
        <f t="shared" si="34"/>
        <v>0</v>
      </c>
      <c r="ED45" s="31">
        <f t="shared" si="11"/>
        <v>50000000</v>
      </c>
      <c r="EE45" s="31">
        <f t="shared" si="15"/>
        <v>50000000</v>
      </c>
      <c r="EF45" s="31">
        <f t="shared" si="16"/>
        <v>50000000</v>
      </c>
    </row>
    <row r="46" spans="1:136" ht="46.9" customHeight="1" x14ac:dyDescent="0.25">
      <c r="A46" s="208"/>
      <c r="B46" s="33" t="s">
        <v>156</v>
      </c>
      <c r="C46" s="20" t="s">
        <v>157</v>
      </c>
      <c r="D46" s="21" t="s">
        <v>158</v>
      </c>
      <c r="E46" s="22">
        <v>410</v>
      </c>
      <c r="F46" s="53" t="s">
        <v>117</v>
      </c>
      <c r="G46" s="24">
        <f t="shared" si="26"/>
        <v>3731019134</v>
      </c>
      <c r="H46" s="25">
        <f>+[7]SI!$F$50</f>
        <v>2200000000</v>
      </c>
      <c r="I46" s="25">
        <f t="shared" si="35"/>
        <v>-1531019134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6"/>
      <c r="Y46" s="26">
        <f>2000000000+150000000+1500000000</f>
        <v>3650000000</v>
      </c>
      <c r="Z46" s="26"/>
      <c r="AA46" s="26"/>
      <c r="AB46" s="26">
        <v>31019134</v>
      </c>
      <c r="AC46" s="26"/>
      <c r="AD46" s="26"/>
      <c r="AE46" s="26"/>
      <c r="AF46" s="26">
        <v>0</v>
      </c>
      <c r="AG46" s="27">
        <f t="shared" si="1"/>
        <v>0.90388214449719839</v>
      </c>
      <c r="AH46" s="24">
        <f t="shared" si="27"/>
        <v>3372401576</v>
      </c>
      <c r="AI46" s="24"/>
      <c r="AJ46" s="24"/>
      <c r="AK46" s="24"/>
      <c r="AL46" s="24"/>
      <c r="AM46" s="24"/>
      <c r="AN46" s="24"/>
      <c r="AO46" s="24"/>
      <c r="AP46" s="24">
        <f>+[2]OCTUBRE!$Q$2264</f>
        <v>36800000</v>
      </c>
      <c r="AQ46" s="24"/>
      <c r="AR46" s="24"/>
      <c r="AS46" s="24"/>
      <c r="AT46" s="24"/>
      <c r="AU46" s="24"/>
      <c r="AV46" s="24"/>
      <c r="AW46" s="24"/>
      <c r="AX46" s="24">
        <f>+[2]OCTUBRE!$Y$2264</f>
        <v>3316172938</v>
      </c>
      <c r="AY46" s="24"/>
      <c r="AZ46" s="24"/>
      <c r="BA46" s="24">
        <f>+[2]OCTUBRE!$AB$2264</f>
        <v>19428638</v>
      </c>
      <c r="BB46" s="24"/>
      <c r="BC46" s="24"/>
      <c r="BD46" s="24"/>
      <c r="BE46" s="24"/>
      <c r="BF46" s="27">
        <f t="shared" si="13"/>
        <v>9.6117855502801608E-2</v>
      </c>
      <c r="BG46" s="24">
        <f t="shared" si="28"/>
        <v>358617558</v>
      </c>
      <c r="BH46" s="24">
        <f t="shared" si="38"/>
        <v>0</v>
      </c>
      <c r="BI46" s="24">
        <f t="shared" si="38"/>
        <v>0</v>
      </c>
      <c r="BJ46" s="24">
        <f t="shared" si="38"/>
        <v>0</v>
      </c>
      <c r="BK46" s="24">
        <f t="shared" si="38"/>
        <v>0</v>
      </c>
      <c r="BL46" s="24">
        <f t="shared" si="38"/>
        <v>0</v>
      </c>
      <c r="BM46" s="24">
        <f t="shared" si="38"/>
        <v>0</v>
      </c>
      <c r="BN46" s="24">
        <f t="shared" si="38"/>
        <v>0</v>
      </c>
      <c r="BO46" s="24">
        <f t="shared" si="38"/>
        <v>13200000</v>
      </c>
      <c r="BP46" s="24">
        <f t="shared" si="38"/>
        <v>0</v>
      </c>
      <c r="BQ46" s="24">
        <f t="shared" si="38"/>
        <v>0</v>
      </c>
      <c r="BR46" s="24">
        <f t="shared" si="38"/>
        <v>0</v>
      </c>
      <c r="BS46" s="24">
        <f t="shared" si="38"/>
        <v>0</v>
      </c>
      <c r="BT46" s="24">
        <f t="shared" si="38"/>
        <v>0</v>
      </c>
      <c r="BU46" s="24">
        <f t="shared" si="38"/>
        <v>0</v>
      </c>
      <c r="BV46" s="24">
        <f t="shared" si="38"/>
        <v>0</v>
      </c>
      <c r="BW46" s="24">
        <f t="shared" si="36"/>
        <v>333827062</v>
      </c>
      <c r="BX46" s="24">
        <f t="shared" si="30"/>
        <v>0</v>
      </c>
      <c r="BY46" s="24">
        <f t="shared" si="30"/>
        <v>0</v>
      </c>
      <c r="BZ46" s="24">
        <f t="shared" si="30"/>
        <v>11590496</v>
      </c>
      <c r="CA46" s="24">
        <f t="shared" si="30"/>
        <v>0</v>
      </c>
      <c r="CB46" s="24">
        <f t="shared" si="30"/>
        <v>0</v>
      </c>
      <c r="CC46" s="24">
        <f t="shared" si="30"/>
        <v>0</v>
      </c>
      <c r="CD46" s="24">
        <f t="shared" si="30"/>
        <v>0</v>
      </c>
      <c r="CE46" s="27">
        <f t="shared" si="6"/>
        <v>0.69062167613102354</v>
      </c>
      <c r="CF46" s="24">
        <f t="shared" si="31"/>
        <v>2576722688</v>
      </c>
      <c r="CG46" s="24"/>
      <c r="CH46" s="24"/>
      <c r="CI46" s="24"/>
      <c r="CJ46" s="24"/>
      <c r="CK46" s="24"/>
      <c r="CL46" s="24"/>
      <c r="CM46" s="24"/>
      <c r="CN46" s="24">
        <f>+[2]OCTUBRE!$H$2584</f>
        <v>8799999</v>
      </c>
      <c r="CO46" s="24"/>
      <c r="CP46" s="24"/>
      <c r="CQ46" s="24"/>
      <c r="CR46" s="24"/>
      <c r="CS46" s="24"/>
      <c r="CT46" s="24"/>
      <c r="CU46" s="24"/>
      <c r="CV46" s="24">
        <f>+[2]OCTUBRE!$H$2262-CN46-CY46-DC46</f>
        <v>2537150673</v>
      </c>
      <c r="CW46" s="24"/>
      <c r="CX46" s="24"/>
      <c r="CY46" s="24">
        <f>+[2]OCTUBRE!$H$2603+[2]OCTUBRE!$H$2624+[2]OCTUBRE!$H$2641</f>
        <v>18172016</v>
      </c>
      <c r="CZ46" s="24"/>
      <c r="DA46" s="24"/>
      <c r="DB46" s="24"/>
      <c r="DC46" s="24">
        <f>+[2]OCTUBRE!$H$2705</f>
        <v>12600000</v>
      </c>
      <c r="DD46" s="27">
        <f t="shared" si="8"/>
        <v>0.30937832386897646</v>
      </c>
      <c r="DE46" s="24">
        <f t="shared" si="32"/>
        <v>1154296446</v>
      </c>
      <c r="DF46" s="24">
        <f t="shared" si="39"/>
        <v>0</v>
      </c>
      <c r="DG46" s="24">
        <f t="shared" si="39"/>
        <v>0</v>
      </c>
      <c r="DH46" s="24">
        <f t="shared" si="39"/>
        <v>0</v>
      </c>
      <c r="DI46" s="24">
        <f t="shared" si="39"/>
        <v>0</v>
      </c>
      <c r="DJ46" s="24">
        <f t="shared" si="39"/>
        <v>0</v>
      </c>
      <c r="DK46" s="24">
        <f t="shared" si="39"/>
        <v>0</v>
      </c>
      <c r="DL46" s="24">
        <f t="shared" si="39"/>
        <v>0</v>
      </c>
      <c r="DM46" s="24">
        <f t="shared" si="39"/>
        <v>41200001</v>
      </c>
      <c r="DN46" s="24">
        <f t="shared" si="39"/>
        <v>0</v>
      </c>
      <c r="DO46" s="24">
        <f t="shared" si="39"/>
        <v>0</v>
      </c>
      <c r="DP46" s="24">
        <f t="shared" si="39"/>
        <v>0</v>
      </c>
      <c r="DQ46" s="24">
        <f t="shared" si="39"/>
        <v>0</v>
      </c>
      <c r="DR46" s="24">
        <f t="shared" si="39"/>
        <v>0</v>
      </c>
      <c r="DS46" s="24">
        <f t="shared" si="39"/>
        <v>0</v>
      </c>
      <c r="DT46" s="24">
        <f t="shared" si="39"/>
        <v>0</v>
      </c>
      <c r="DU46" s="24">
        <f t="shared" si="37"/>
        <v>1112849327</v>
      </c>
      <c r="DV46" s="24">
        <f t="shared" si="34"/>
        <v>0</v>
      </c>
      <c r="DW46" s="24">
        <f t="shared" si="34"/>
        <v>0</v>
      </c>
      <c r="DX46" s="24">
        <f t="shared" si="34"/>
        <v>12847118</v>
      </c>
      <c r="DY46" s="24">
        <f t="shared" si="34"/>
        <v>0</v>
      </c>
      <c r="DZ46" s="24">
        <f t="shared" si="34"/>
        <v>0</v>
      </c>
      <c r="EA46" s="24">
        <f t="shared" si="34"/>
        <v>0</v>
      </c>
      <c r="EB46" s="24">
        <f t="shared" si="34"/>
        <v>-12600000</v>
      </c>
      <c r="ED46" s="31">
        <f t="shared" si="11"/>
        <v>3731019134</v>
      </c>
      <c r="EE46" s="31">
        <f t="shared" si="15"/>
        <v>3731019134</v>
      </c>
      <c r="EF46" s="31">
        <f t="shared" si="16"/>
        <v>3731019134</v>
      </c>
    </row>
    <row r="47" spans="1:136" ht="26.25" customHeight="1" x14ac:dyDescent="0.25">
      <c r="A47" s="55"/>
      <c r="B47" s="228" t="s">
        <v>159</v>
      </c>
      <c r="C47" s="20" t="s">
        <v>160</v>
      </c>
      <c r="D47" s="35" t="s">
        <v>161</v>
      </c>
      <c r="E47" s="22">
        <v>410</v>
      </c>
      <c r="F47" s="53" t="s">
        <v>162</v>
      </c>
      <c r="G47" s="24">
        <f t="shared" si="26"/>
        <v>119648137</v>
      </c>
      <c r="H47" s="25">
        <f>+[7]SI!$F56</f>
        <v>198000000</v>
      </c>
      <c r="I47" s="25">
        <f t="shared" si="35"/>
        <v>78351863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>
        <f>3340137</f>
        <v>3340137</v>
      </c>
      <c r="AC47" s="26"/>
      <c r="AD47" s="26"/>
      <c r="AE47" s="26"/>
      <c r="AF47" s="26">
        <v>12600000</v>
      </c>
      <c r="AG47" s="27">
        <f t="shared" si="1"/>
        <v>0.90388483859134383</v>
      </c>
      <c r="AH47" s="24">
        <f t="shared" si="27"/>
        <v>108148137</v>
      </c>
      <c r="AI47" s="24"/>
      <c r="AJ47" s="24">
        <f>+'[9]ENERO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>
        <f>+[4]JULIO!$AB$2052</f>
        <v>3340137</v>
      </c>
      <c r="BB47" s="24"/>
      <c r="BC47" s="24"/>
      <c r="BD47" s="24"/>
      <c r="BE47" s="24">
        <f>+'[6]MARZO 2020'!$AG$2550</f>
        <v>12600000</v>
      </c>
      <c r="BF47" s="27">
        <f t="shared" si="13"/>
        <v>9.6115161408656169E-2</v>
      </c>
      <c r="BG47" s="24">
        <f t="shared" si="28"/>
        <v>11500000</v>
      </c>
      <c r="BH47" s="24">
        <f t="shared" si="38"/>
        <v>0</v>
      </c>
      <c r="BI47" s="24">
        <f t="shared" si="38"/>
        <v>0</v>
      </c>
      <c r="BJ47" s="24">
        <f t="shared" si="38"/>
        <v>0</v>
      </c>
      <c r="BK47" s="24">
        <f t="shared" si="38"/>
        <v>0</v>
      </c>
      <c r="BL47" s="24">
        <f t="shared" si="38"/>
        <v>0</v>
      </c>
      <c r="BM47" s="24">
        <f t="shared" si="38"/>
        <v>0</v>
      </c>
      <c r="BN47" s="24">
        <f t="shared" si="38"/>
        <v>0</v>
      </c>
      <c r="BO47" s="24">
        <f t="shared" si="38"/>
        <v>11500000</v>
      </c>
      <c r="BP47" s="24">
        <f t="shared" si="38"/>
        <v>0</v>
      </c>
      <c r="BQ47" s="24">
        <f t="shared" si="38"/>
        <v>0</v>
      </c>
      <c r="BR47" s="24">
        <f t="shared" si="38"/>
        <v>0</v>
      </c>
      <c r="BS47" s="24">
        <f t="shared" si="38"/>
        <v>0</v>
      </c>
      <c r="BT47" s="24">
        <f t="shared" si="38"/>
        <v>0</v>
      </c>
      <c r="BU47" s="24">
        <f t="shared" si="38"/>
        <v>0</v>
      </c>
      <c r="BV47" s="24">
        <f t="shared" si="38"/>
        <v>0</v>
      </c>
      <c r="BW47" s="24">
        <f t="shared" si="36"/>
        <v>0</v>
      </c>
      <c r="BX47" s="24">
        <f t="shared" si="30"/>
        <v>0</v>
      </c>
      <c r="BY47" s="24">
        <f t="shared" si="30"/>
        <v>0</v>
      </c>
      <c r="BZ47" s="24">
        <f t="shared" si="30"/>
        <v>0</v>
      </c>
      <c r="CA47" s="24">
        <f t="shared" si="30"/>
        <v>0</v>
      </c>
      <c r="CB47" s="24">
        <f t="shared" si="30"/>
        <v>0</v>
      </c>
      <c r="CC47" s="24">
        <f t="shared" si="30"/>
        <v>0</v>
      </c>
      <c r="CD47" s="24">
        <f t="shared" si="30"/>
        <v>0</v>
      </c>
      <c r="CE47" s="27">
        <f t="shared" si="6"/>
        <v>0.90325527592627708</v>
      </c>
      <c r="CF47" s="24">
        <f t="shared" si="31"/>
        <v>108072811</v>
      </c>
      <c r="CG47" s="24"/>
      <c r="CH47" s="24">
        <f>+[8]AGOSTO!$H$2213+[8]AGOSTO!$H$2217+[8]AGOSTO!$H$2222+[8]AGOSTO!$H$2226+[8]AGOSTO!$H$2236</f>
        <v>92132811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>
        <f>+[4]JULIO!$H$2079</f>
        <v>3340000</v>
      </c>
      <c r="CZ47" s="24"/>
      <c r="DA47" s="24"/>
      <c r="DB47" s="24"/>
      <c r="DC47" s="24">
        <f>+[4]JULIO!$H$2073</f>
        <v>12600000</v>
      </c>
      <c r="DD47" s="27">
        <f t="shared" si="8"/>
        <v>9.6744724073722921E-2</v>
      </c>
      <c r="DE47" s="24">
        <f t="shared" si="32"/>
        <v>11575326</v>
      </c>
      <c r="DF47" s="24">
        <f t="shared" si="39"/>
        <v>0</v>
      </c>
      <c r="DG47" s="24">
        <f t="shared" si="39"/>
        <v>75189</v>
      </c>
      <c r="DH47" s="24">
        <f t="shared" si="39"/>
        <v>0</v>
      </c>
      <c r="DI47" s="24">
        <f t="shared" si="39"/>
        <v>0</v>
      </c>
      <c r="DJ47" s="24">
        <f t="shared" si="39"/>
        <v>0</v>
      </c>
      <c r="DK47" s="24">
        <f t="shared" si="39"/>
        <v>0</v>
      </c>
      <c r="DL47" s="24">
        <f t="shared" si="39"/>
        <v>0</v>
      </c>
      <c r="DM47" s="24">
        <f t="shared" si="39"/>
        <v>11500000</v>
      </c>
      <c r="DN47" s="24">
        <f t="shared" si="39"/>
        <v>0</v>
      </c>
      <c r="DO47" s="24">
        <f t="shared" si="39"/>
        <v>0</v>
      </c>
      <c r="DP47" s="24">
        <f t="shared" si="39"/>
        <v>0</v>
      </c>
      <c r="DQ47" s="24">
        <f t="shared" si="39"/>
        <v>0</v>
      </c>
      <c r="DR47" s="24">
        <f t="shared" si="39"/>
        <v>0</v>
      </c>
      <c r="DS47" s="24">
        <f t="shared" si="39"/>
        <v>0</v>
      </c>
      <c r="DT47" s="24">
        <f t="shared" si="39"/>
        <v>0</v>
      </c>
      <c r="DU47" s="24">
        <f t="shared" si="37"/>
        <v>0</v>
      </c>
      <c r="DV47" s="24">
        <f t="shared" si="34"/>
        <v>0</v>
      </c>
      <c r="DW47" s="24">
        <f t="shared" si="34"/>
        <v>0</v>
      </c>
      <c r="DX47" s="24">
        <f t="shared" si="34"/>
        <v>137</v>
      </c>
      <c r="DY47" s="24">
        <f t="shared" si="34"/>
        <v>0</v>
      </c>
      <c r="DZ47" s="24">
        <f t="shared" si="34"/>
        <v>0</v>
      </c>
      <c r="EA47" s="24">
        <f t="shared" si="34"/>
        <v>0</v>
      </c>
      <c r="EB47" s="24">
        <f t="shared" si="34"/>
        <v>0</v>
      </c>
      <c r="ED47" s="31">
        <f t="shared" si="11"/>
        <v>119648137</v>
      </c>
      <c r="EE47" s="31">
        <f t="shared" si="15"/>
        <v>119648137</v>
      </c>
      <c r="EF47" s="31">
        <f t="shared" si="16"/>
        <v>119648137</v>
      </c>
    </row>
    <row r="48" spans="1:136" ht="48" customHeight="1" x14ac:dyDescent="0.25">
      <c r="A48" s="55"/>
      <c r="B48" s="231"/>
      <c r="C48" s="20" t="s">
        <v>163</v>
      </c>
      <c r="D48" s="35" t="s">
        <v>164</v>
      </c>
      <c r="E48" s="22">
        <v>410</v>
      </c>
      <c r="F48" s="23" t="s">
        <v>165</v>
      </c>
      <c r="G48" s="24">
        <f t="shared" si="26"/>
        <v>197425766</v>
      </c>
      <c r="H48" s="25">
        <f>+[7]SI!$F57</f>
        <v>100000000</v>
      </c>
      <c r="I48" s="25">
        <f t="shared" si="35"/>
        <v>-97425766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f>13810888+30000000</f>
        <v>43810888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>
        <v>36000000</v>
      </c>
      <c r="AC48" s="26"/>
      <c r="AD48" s="26"/>
      <c r="AE48" s="26"/>
      <c r="AF48" s="26">
        <f>59608000+214878+15000000+5000000</f>
        <v>79822878</v>
      </c>
      <c r="AG48" s="27">
        <f t="shared" si="1"/>
        <v>0.87214042264371916</v>
      </c>
      <c r="AH48" s="24">
        <f t="shared" si="27"/>
        <v>172182991</v>
      </c>
      <c r="AI48" s="24"/>
      <c r="AJ48" s="24">
        <f>+'[9]ENERO 2020'!$K$2172</f>
        <v>37792000</v>
      </c>
      <c r="AK48" s="24"/>
      <c r="AL48" s="24"/>
      <c r="AM48" s="24"/>
      <c r="AN48" s="24"/>
      <c r="AO48" s="24"/>
      <c r="AP48" s="24">
        <f>+[3]SEPTIEMBRE!$Q$2533</f>
        <v>43810888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>
        <f>+[4]JULIO!$AB$2085</f>
        <v>21000000</v>
      </c>
      <c r="BB48" s="24"/>
      <c r="BC48" s="24"/>
      <c r="BD48" s="24"/>
      <c r="BE48" s="24">
        <f>+[2]OCTUBRE!$AG$2718</f>
        <v>69580103</v>
      </c>
      <c r="BF48" s="27">
        <f t="shared" si="13"/>
        <v>0.12785957735628084</v>
      </c>
      <c r="BG48" s="24">
        <f t="shared" si="28"/>
        <v>25242775</v>
      </c>
      <c r="BH48" s="24">
        <f t="shared" si="38"/>
        <v>0</v>
      </c>
      <c r="BI48" s="24">
        <f t="shared" si="38"/>
        <v>0</v>
      </c>
      <c r="BJ48" s="24">
        <f t="shared" si="38"/>
        <v>0</v>
      </c>
      <c r="BK48" s="24">
        <f t="shared" si="38"/>
        <v>0</v>
      </c>
      <c r="BL48" s="24">
        <f t="shared" si="38"/>
        <v>0</v>
      </c>
      <c r="BM48" s="24">
        <f t="shared" si="38"/>
        <v>0</v>
      </c>
      <c r="BN48" s="24">
        <f t="shared" si="38"/>
        <v>0</v>
      </c>
      <c r="BO48" s="24">
        <f t="shared" si="38"/>
        <v>0</v>
      </c>
      <c r="BP48" s="24">
        <f t="shared" si="38"/>
        <v>0</v>
      </c>
      <c r="BQ48" s="24">
        <f t="shared" si="38"/>
        <v>0</v>
      </c>
      <c r="BR48" s="24">
        <f t="shared" si="38"/>
        <v>0</v>
      </c>
      <c r="BS48" s="24">
        <f t="shared" si="38"/>
        <v>0</v>
      </c>
      <c r="BT48" s="24">
        <f t="shared" si="38"/>
        <v>0</v>
      </c>
      <c r="BU48" s="24">
        <f t="shared" si="38"/>
        <v>0</v>
      </c>
      <c r="BV48" s="24">
        <f t="shared" si="38"/>
        <v>0</v>
      </c>
      <c r="BW48" s="24">
        <f t="shared" si="36"/>
        <v>0</v>
      </c>
      <c r="BX48" s="24">
        <f t="shared" si="30"/>
        <v>0</v>
      </c>
      <c r="BY48" s="24">
        <f t="shared" si="30"/>
        <v>0</v>
      </c>
      <c r="BZ48" s="24">
        <f t="shared" si="30"/>
        <v>15000000</v>
      </c>
      <c r="CA48" s="24">
        <f t="shared" si="30"/>
        <v>0</v>
      </c>
      <c r="CB48" s="24">
        <f t="shared" si="30"/>
        <v>0</v>
      </c>
      <c r="CC48" s="24">
        <f t="shared" si="30"/>
        <v>0</v>
      </c>
      <c r="CD48" s="24">
        <f t="shared" si="30"/>
        <v>10242775</v>
      </c>
      <c r="CE48" s="27">
        <f t="shared" si="6"/>
        <v>0.63701215169655212</v>
      </c>
      <c r="CF48" s="24">
        <f t="shared" si="31"/>
        <v>125762612</v>
      </c>
      <c r="CG48" s="24"/>
      <c r="CH48" s="24">
        <f>+[2]OCTUBRE!$H$2723+[2]OCTUBRE!$H$2728+[2]OCTUBRE!$H$2742</f>
        <v>37704940</v>
      </c>
      <c r="CI48" s="24"/>
      <c r="CJ48" s="24"/>
      <c r="CK48" s="24"/>
      <c r="CL48" s="24"/>
      <c r="CM48" s="24"/>
      <c r="CN48" s="24">
        <f>+[2]OCTUBRE!$H$2739+[2]OCTUBRE!$H$2749</f>
        <v>27636602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>
        <f>+[2]OCTUBRE!$H$2745</f>
        <v>19320000</v>
      </c>
      <c r="CZ48" s="24"/>
      <c r="DA48" s="24"/>
      <c r="DB48" s="24"/>
      <c r="DC48" s="24">
        <f>+[2]OCTUBRE!$H$2719+[2]OCTUBRE!$H$2736</f>
        <v>41101070</v>
      </c>
      <c r="DD48" s="27">
        <f>1-CE48</f>
        <v>0.36298784830344788</v>
      </c>
      <c r="DE48" s="24">
        <f t="shared" si="32"/>
        <v>71663154</v>
      </c>
      <c r="DF48" s="24">
        <f t="shared" si="39"/>
        <v>0</v>
      </c>
      <c r="DG48" s="24">
        <f t="shared" si="39"/>
        <v>87060</v>
      </c>
      <c r="DH48" s="24">
        <f t="shared" si="39"/>
        <v>0</v>
      </c>
      <c r="DI48" s="24">
        <f t="shared" si="39"/>
        <v>0</v>
      </c>
      <c r="DJ48" s="24">
        <f t="shared" si="39"/>
        <v>0</v>
      </c>
      <c r="DK48" s="24">
        <f t="shared" si="39"/>
        <v>0</v>
      </c>
      <c r="DL48" s="24">
        <f t="shared" si="39"/>
        <v>0</v>
      </c>
      <c r="DM48" s="24">
        <f t="shared" si="39"/>
        <v>16174286</v>
      </c>
      <c r="DN48" s="24">
        <f t="shared" si="39"/>
        <v>0</v>
      </c>
      <c r="DO48" s="24">
        <f t="shared" si="39"/>
        <v>0</v>
      </c>
      <c r="DP48" s="24">
        <f t="shared" si="39"/>
        <v>0</v>
      </c>
      <c r="DQ48" s="24">
        <f t="shared" si="39"/>
        <v>0</v>
      </c>
      <c r="DR48" s="24">
        <f t="shared" si="39"/>
        <v>0</v>
      </c>
      <c r="DS48" s="24">
        <f t="shared" si="39"/>
        <v>0</v>
      </c>
      <c r="DT48" s="24">
        <f t="shared" si="39"/>
        <v>0</v>
      </c>
      <c r="DU48" s="24">
        <f t="shared" si="37"/>
        <v>0</v>
      </c>
      <c r="DV48" s="24">
        <f t="shared" si="34"/>
        <v>0</v>
      </c>
      <c r="DW48" s="24">
        <f t="shared" si="34"/>
        <v>0</v>
      </c>
      <c r="DX48" s="24">
        <f t="shared" si="34"/>
        <v>16680000</v>
      </c>
      <c r="DY48" s="24">
        <f t="shared" si="34"/>
        <v>0</v>
      </c>
      <c r="DZ48" s="24">
        <f t="shared" si="34"/>
        <v>0</v>
      </c>
      <c r="EA48" s="24">
        <f t="shared" si="34"/>
        <v>0</v>
      </c>
      <c r="EB48" s="24">
        <f t="shared" si="34"/>
        <v>38721808</v>
      </c>
      <c r="ED48" s="31">
        <f t="shared" si="11"/>
        <v>197425766</v>
      </c>
      <c r="EE48" s="31">
        <f t="shared" si="15"/>
        <v>197425766</v>
      </c>
      <c r="EF48" s="31">
        <f t="shared" si="16"/>
        <v>197425766</v>
      </c>
    </row>
    <row r="49" spans="1:136" ht="24.6" customHeight="1" x14ac:dyDescent="0.25">
      <c r="A49" s="55"/>
      <c r="B49" s="229"/>
      <c r="C49" s="20" t="s">
        <v>166</v>
      </c>
      <c r="D49" s="35" t="s">
        <v>167</v>
      </c>
      <c r="E49" s="22">
        <v>410</v>
      </c>
      <c r="F49" s="53" t="s">
        <v>168</v>
      </c>
      <c r="G49" s="24">
        <f t="shared" si="26"/>
        <v>207773050</v>
      </c>
      <c r="H49" s="25">
        <f>+[7]SI!$F58</f>
        <v>197242000</v>
      </c>
      <c r="I49" s="25">
        <f t="shared" si="35"/>
        <v>-10531050</v>
      </c>
      <c r="J49" s="24"/>
      <c r="K49" s="24">
        <v>70000000</v>
      </c>
      <c r="L49" s="24"/>
      <c r="M49" s="24"/>
      <c r="N49" s="24"/>
      <c r="O49" s="24"/>
      <c r="P49" s="24"/>
      <c r="Q49" s="24">
        <f>31000000+5919700+51402084</f>
        <v>88321784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>
        <v>41251266</v>
      </c>
      <c r="AC49" s="26"/>
      <c r="AD49" s="26"/>
      <c r="AE49" s="26"/>
      <c r="AF49" s="26">
        <f>4000000+2200000+2000000</f>
        <v>8200000</v>
      </c>
      <c r="AG49" s="27">
        <f t="shared" si="1"/>
        <v>0.98941152377558106</v>
      </c>
      <c r="AH49" s="24">
        <f t="shared" si="27"/>
        <v>205573050</v>
      </c>
      <c r="AI49" s="24"/>
      <c r="AJ49" s="24">
        <f>+'[9]ENERO 2020'!$K$2190</f>
        <v>70000000</v>
      </c>
      <c r="AK49" s="24"/>
      <c r="AL49" s="24"/>
      <c r="AM49" s="24"/>
      <c r="AN49" s="24"/>
      <c r="AO49" s="24"/>
      <c r="AP49" s="24">
        <f>+[2]OCTUBRE!$Q$2757</f>
        <v>88321784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>
        <f>+[4]JULIO!$AB$2116</f>
        <v>41251266</v>
      </c>
      <c r="BB49" s="24"/>
      <c r="BC49" s="24"/>
      <c r="BD49" s="24"/>
      <c r="BE49" s="24">
        <f>+[2]OCTUBRE!$AG$2757</f>
        <v>6000000</v>
      </c>
      <c r="BF49" s="27">
        <f t="shared" si="13"/>
        <v>1.0588476224418941E-2</v>
      </c>
      <c r="BG49" s="24">
        <f t="shared" si="28"/>
        <v>2200000</v>
      </c>
      <c r="BH49" s="24">
        <f t="shared" si="38"/>
        <v>0</v>
      </c>
      <c r="BI49" s="24">
        <f t="shared" si="38"/>
        <v>0</v>
      </c>
      <c r="BJ49" s="24">
        <f t="shared" si="38"/>
        <v>0</v>
      </c>
      <c r="BK49" s="24">
        <f t="shared" si="38"/>
        <v>0</v>
      </c>
      <c r="BL49" s="24">
        <f t="shared" si="38"/>
        <v>0</v>
      </c>
      <c r="BM49" s="24">
        <f t="shared" si="38"/>
        <v>0</v>
      </c>
      <c r="BN49" s="24">
        <f t="shared" si="38"/>
        <v>0</v>
      </c>
      <c r="BO49" s="24">
        <f t="shared" si="38"/>
        <v>0</v>
      </c>
      <c r="BP49" s="24">
        <f t="shared" si="38"/>
        <v>0</v>
      </c>
      <c r="BQ49" s="24">
        <f t="shared" si="38"/>
        <v>0</v>
      </c>
      <c r="BR49" s="24">
        <f t="shared" si="38"/>
        <v>0</v>
      </c>
      <c r="BS49" s="24">
        <f t="shared" si="38"/>
        <v>0</v>
      </c>
      <c r="BT49" s="24">
        <f t="shared" si="38"/>
        <v>0</v>
      </c>
      <c r="BU49" s="24">
        <f t="shared" si="38"/>
        <v>0</v>
      </c>
      <c r="BV49" s="24">
        <f t="shared" si="38"/>
        <v>0</v>
      </c>
      <c r="BW49" s="24">
        <f t="shared" si="36"/>
        <v>0</v>
      </c>
      <c r="BX49" s="24">
        <f t="shared" si="30"/>
        <v>0</v>
      </c>
      <c r="BY49" s="24">
        <f t="shared" si="30"/>
        <v>0</v>
      </c>
      <c r="BZ49" s="24">
        <f t="shared" si="30"/>
        <v>0</v>
      </c>
      <c r="CA49" s="24">
        <f t="shared" si="30"/>
        <v>0</v>
      </c>
      <c r="CB49" s="24">
        <f t="shared" si="30"/>
        <v>0</v>
      </c>
      <c r="CC49" s="24">
        <f t="shared" si="30"/>
        <v>0</v>
      </c>
      <c r="CD49" s="24">
        <f t="shared" si="30"/>
        <v>2200000</v>
      </c>
      <c r="CE49" s="27">
        <f t="shared" si="6"/>
        <v>0.49488203595220842</v>
      </c>
      <c r="CF49" s="24">
        <f t="shared" si="31"/>
        <v>102823150</v>
      </c>
      <c r="CG49" s="24"/>
      <c r="CH49" s="24">
        <f>+[2]OCTUBRE!$H$2758+[2]OCTUBRE!$H$2777</f>
        <v>65626050</v>
      </c>
      <c r="CI49" s="24"/>
      <c r="CJ49" s="24"/>
      <c r="CK49" s="24"/>
      <c r="CL49" s="24"/>
      <c r="CM49" s="24"/>
      <c r="CN49" s="24">
        <f>+[2]OCTUBRE!$H$2796</f>
        <v>26520000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>
        <f>+[2]OCTUBRE!$H$2802</f>
        <v>7557100</v>
      </c>
      <c r="CZ49" s="24"/>
      <c r="DA49" s="24"/>
      <c r="DB49" s="24"/>
      <c r="DC49" s="24">
        <f>+[2]OCTUBRE!$H$2791</f>
        <v>3120000</v>
      </c>
      <c r="DD49" s="27">
        <f t="shared" si="8"/>
        <v>0.50511796404779163</v>
      </c>
      <c r="DE49" s="24">
        <f t="shared" si="32"/>
        <v>104949900</v>
      </c>
      <c r="DF49" s="24">
        <f t="shared" si="39"/>
        <v>0</v>
      </c>
      <c r="DG49" s="24">
        <f t="shared" si="39"/>
        <v>4373950</v>
      </c>
      <c r="DH49" s="24">
        <f t="shared" si="39"/>
        <v>0</v>
      </c>
      <c r="DI49" s="24">
        <f t="shared" si="39"/>
        <v>0</v>
      </c>
      <c r="DJ49" s="24">
        <f t="shared" si="39"/>
        <v>0</v>
      </c>
      <c r="DK49" s="24">
        <f t="shared" si="39"/>
        <v>0</v>
      </c>
      <c r="DL49" s="24">
        <f t="shared" si="39"/>
        <v>0</v>
      </c>
      <c r="DM49" s="24">
        <f t="shared" si="39"/>
        <v>61801784</v>
      </c>
      <c r="DN49" s="24">
        <f t="shared" si="39"/>
        <v>0</v>
      </c>
      <c r="DO49" s="24">
        <f t="shared" si="39"/>
        <v>0</v>
      </c>
      <c r="DP49" s="24">
        <f t="shared" si="39"/>
        <v>0</v>
      </c>
      <c r="DQ49" s="24">
        <f t="shared" si="39"/>
        <v>0</v>
      </c>
      <c r="DR49" s="24">
        <f t="shared" si="39"/>
        <v>0</v>
      </c>
      <c r="DS49" s="24">
        <f t="shared" si="39"/>
        <v>0</v>
      </c>
      <c r="DT49" s="24">
        <f t="shared" si="39"/>
        <v>0</v>
      </c>
      <c r="DU49" s="24">
        <f t="shared" si="37"/>
        <v>0</v>
      </c>
      <c r="DV49" s="24">
        <f t="shared" si="34"/>
        <v>0</v>
      </c>
      <c r="DW49" s="24">
        <f t="shared" si="34"/>
        <v>0</v>
      </c>
      <c r="DX49" s="24">
        <f t="shared" si="34"/>
        <v>33694166</v>
      </c>
      <c r="DY49" s="24">
        <f t="shared" si="34"/>
        <v>0</v>
      </c>
      <c r="DZ49" s="24">
        <f t="shared" si="34"/>
        <v>0</v>
      </c>
      <c r="EA49" s="24">
        <f t="shared" si="34"/>
        <v>0</v>
      </c>
      <c r="EB49" s="24">
        <f t="shared" si="34"/>
        <v>5080000</v>
      </c>
      <c r="ED49" s="31">
        <f t="shared" si="11"/>
        <v>207773050</v>
      </c>
      <c r="EE49" s="31">
        <f t="shared" si="15"/>
        <v>207773050</v>
      </c>
      <c r="EF49" s="31">
        <f t="shared" si="16"/>
        <v>207773050</v>
      </c>
    </row>
    <row r="50" spans="1:136" s="44" customFormat="1" ht="17.45" customHeight="1" thickBot="1" x14ac:dyDescent="0.3">
      <c r="A50" s="56"/>
      <c r="B50" s="221" t="s">
        <v>169</v>
      </c>
      <c r="C50" s="221"/>
      <c r="D50" s="221"/>
      <c r="E50" s="221"/>
      <c r="F50" s="57"/>
      <c r="G50" s="58">
        <f t="shared" ref="G50:AF50" si="40">SUM(G25:G49)</f>
        <v>7636534557</v>
      </c>
      <c r="H50" s="58">
        <f t="shared" si="40"/>
        <v>8545602000</v>
      </c>
      <c r="I50" s="58">
        <f t="shared" si="40"/>
        <v>909067443</v>
      </c>
      <c r="J50" s="58">
        <f t="shared" si="40"/>
        <v>0</v>
      </c>
      <c r="K50" s="58">
        <f t="shared" si="40"/>
        <v>200000000</v>
      </c>
      <c r="L50" s="58">
        <f t="shared" si="40"/>
        <v>0</v>
      </c>
      <c r="M50" s="58">
        <f t="shared" si="40"/>
        <v>0</v>
      </c>
      <c r="N50" s="58">
        <f t="shared" si="40"/>
        <v>0</v>
      </c>
      <c r="O50" s="58">
        <f t="shared" si="40"/>
        <v>0</v>
      </c>
      <c r="P50" s="58">
        <f t="shared" si="40"/>
        <v>0</v>
      </c>
      <c r="Q50" s="58">
        <f t="shared" si="40"/>
        <v>1976753328</v>
      </c>
      <c r="R50" s="58">
        <f t="shared" si="40"/>
        <v>90000000</v>
      </c>
      <c r="S50" s="58">
        <f t="shared" si="40"/>
        <v>116000000</v>
      </c>
      <c r="T50" s="58">
        <f t="shared" si="40"/>
        <v>120134741</v>
      </c>
      <c r="U50" s="58">
        <f t="shared" si="40"/>
        <v>0</v>
      </c>
      <c r="V50" s="58">
        <f t="shared" si="40"/>
        <v>0</v>
      </c>
      <c r="W50" s="58">
        <f t="shared" si="40"/>
        <v>0</v>
      </c>
      <c r="X50" s="58">
        <f t="shared" si="40"/>
        <v>0</v>
      </c>
      <c r="Y50" s="58">
        <f t="shared" si="40"/>
        <v>3650000000</v>
      </c>
      <c r="Z50" s="58">
        <f t="shared" si="40"/>
        <v>0</v>
      </c>
      <c r="AA50" s="58">
        <f t="shared" si="40"/>
        <v>0</v>
      </c>
      <c r="AB50" s="58">
        <f t="shared" si="40"/>
        <v>758667215</v>
      </c>
      <c r="AC50" s="58">
        <f t="shared" si="40"/>
        <v>0</v>
      </c>
      <c r="AD50" s="58">
        <f t="shared" si="40"/>
        <v>320081566</v>
      </c>
      <c r="AE50" s="58">
        <f t="shared" si="40"/>
        <v>0</v>
      </c>
      <c r="AF50" s="58">
        <f t="shared" si="40"/>
        <v>404897707</v>
      </c>
      <c r="AG50" s="59">
        <f t="shared" si="1"/>
        <v>0.88538503722245387</v>
      </c>
      <c r="AH50" s="58">
        <f>SUM(AH25:AH49)</f>
        <v>6761273433</v>
      </c>
      <c r="AI50" s="58">
        <f t="shared" ref="AI50:CT50" si="41">SUM(AI25:AI49)</f>
        <v>0</v>
      </c>
      <c r="AJ50" s="58">
        <f t="shared" si="41"/>
        <v>200000000</v>
      </c>
      <c r="AK50" s="58">
        <f t="shared" si="41"/>
        <v>0</v>
      </c>
      <c r="AL50" s="58">
        <f t="shared" si="41"/>
        <v>0</v>
      </c>
      <c r="AM50" s="58">
        <f t="shared" si="41"/>
        <v>0</v>
      </c>
      <c r="AN50" s="58">
        <f t="shared" si="41"/>
        <v>0</v>
      </c>
      <c r="AO50" s="58">
        <f t="shared" si="41"/>
        <v>0</v>
      </c>
      <c r="AP50" s="58">
        <f t="shared" si="41"/>
        <v>1807596656</v>
      </c>
      <c r="AQ50" s="58">
        <f t="shared" si="41"/>
        <v>60000000</v>
      </c>
      <c r="AR50" s="58">
        <f t="shared" si="41"/>
        <v>80000000</v>
      </c>
      <c r="AS50" s="58">
        <f t="shared" si="41"/>
        <v>105134741</v>
      </c>
      <c r="AT50" s="58">
        <f t="shared" si="41"/>
        <v>0</v>
      </c>
      <c r="AU50" s="58">
        <f t="shared" si="41"/>
        <v>0</v>
      </c>
      <c r="AV50" s="58">
        <f t="shared" si="41"/>
        <v>0</v>
      </c>
      <c r="AW50" s="58">
        <f t="shared" si="41"/>
        <v>0</v>
      </c>
      <c r="AX50" s="58">
        <f t="shared" si="41"/>
        <v>3316172938</v>
      </c>
      <c r="AY50" s="58">
        <f t="shared" si="41"/>
        <v>0</v>
      </c>
      <c r="AZ50" s="58">
        <f t="shared" si="41"/>
        <v>0</v>
      </c>
      <c r="BA50" s="58">
        <f t="shared" si="41"/>
        <v>641764646</v>
      </c>
      <c r="BB50" s="58">
        <f t="shared" si="41"/>
        <v>0</v>
      </c>
      <c r="BC50" s="58">
        <f t="shared" si="41"/>
        <v>290803643</v>
      </c>
      <c r="BD50" s="58">
        <f t="shared" si="41"/>
        <v>0</v>
      </c>
      <c r="BE50" s="58">
        <f t="shared" si="41"/>
        <v>259800809</v>
      </c>
      <c r="BF50" s="59">
        <f t="shared" si="13"/>
        <v>0.11461496277754613</v>
      </c>
      <c r="BG50" s="58">
        <f t="shared" si="41"/>
        <v>875261124</v>
      </c>
      <c r="BH50" s="58">
        <f t="shared" si="41"/>
        <v>0</v>
      </c>
      <c r="BI50" s="58">
        <f t="shared" si="41"/>
        <v>0</v>
      </c>
      <c r="BJ50" s="58">
        <f t="shared" si="41"/>
        <v>0</v>
      </c>
      <c r="BK50" s="58">
        <f t="shared" si="41"/>
        <v>0</v>
      </c>
      <c r="BL50" s="58">
        <f t="shared" si="41"/>
        <v>0</v>
      </c>
      <c r="BM50" s="58">
        <f t="shared" si="41"/>
        <v>0</v>
      </c>
      <c r="BN50" s="58">
        <f t="shared" si="41"/>
        <v>0</v>
      </c>
      <c r="BO50" s="58">
        <f t="shared" si="41"/>
        <v>169156672</v>
      </c>
      <c r="BP50" s="58">
        <f t="shared" si="41"/>
        <v>30000000</v>
      </c>
      <c r="BQ50" s="58">
        <f t="shared" si="41"/>
        <v>36000000</v>
      </c>
      <c r="BR50" s="58">
        <f t="shared" si="41"/>
        <v>15000000</v>
      </c>
      <c r="BS50" s="58">
        <f t="shared" si="41"/>
        <v>0</v>
      </c>
      <c r="BT50" s="58">
        <f t="shared" si="41"/>
        <v>0</v>
      </c>
      <c r="BU50" s="58">
        <f t="shared" si="41"/>
        <v>0</v>
      </c>
      <c r="BV50" s="58">
        <f t="shared" si="41"/>
        <v>0</v>
      </c>
      <c r="BW50" s="58">
        <f t="shared" si="41"/>
        <v>333827062</v>
      </c>
      <c r="BX50" s="58">
        <f t="shared" si="41"/>
        <v>0</v>
      </c>
      <c r="BY50" s="58">
        <f t="shared" si="41"/>
        <v>0</v>
      </c>
      <c r="BZ50" s="58">
        <f t="shared" si="41"/>
        <v>116902569</v>
      </c>
      <c r="CA50" s="58">
        <f t="shared" si="41"/>
        <v>0</v>
      </c>
      <c r="CB50" s="58">
        <f t="shared" si="41"/>
        <v>29277923</v>
      </c>
      <c r="CC50" s="58">
        <f t="shared" si="41"/>
        <v>0</v>
      </c>
      <c r="CD50" s="58">
        <f t="shared" si="41"/>
        <v>145096898</v>
      </c>
      <c r="CE50" s="58" t="e">
        <f t="shared" si="41"/>
        <v>#DIV/0!</v>
      </c>
      <c r="CF50" s="58">
        <f t="shared" si="41"/>
        <v>4239438795</v>
      </c>
      <c r="CG50" s="58">
        <f t="shared" si="41"/>
        <v>0</v>
      </c>
      <c r="CH50" s="58">
        <f t="shared" si="41"/>
        <v>195463801</v>
      </c>
      <c r="CI50" s="58">
        <f t="shared" si="41"/>
        <v>0</v>
      </c>
      <c r="CJ50" s="58">
        <f t="shared" si="41"/>
        <v>0</v>
      </c>
      <c r="CK50" s="58">
        <f t="shared" si="41"/>
        <v>0</v>
      </c>
      <c r="CL50" s="58">
        <f t="shared" si="41"/>
        <v>0</v>
      </c>
      <c r="CM50" s="58">
        <f t="shared" si="41"/>
        <v>0</v>
      </c>
      <c r="CN50" s="58">
        <f t="shared" si="41"/>
        <v>773259571</v>
      </c>
      <c r="CO50" s="58">
        <f t="shared" si="41"/>
        <v>10324460</v>
      </c>
      <c r="CP50" s="58">
        <f t="shared" si="41"/>
        <v>11708860</v>
      </c>
      <c r="CQ50" s="58">
        <f t="shared" si="41"/>
        <v>15300150</v>
      </c>
      <c r="CR50" s="58">
        <f t="shared" si="41"/>
        <v>0</v>
      </c>
      <c r="CS50" s="58">
        <f t="shared" si="41"/>
        <v>0</v>
      </c>
      <c r="CT50" s="58">
        <f t="shared" si="41"/>
        <v>0</v>
      </c>
      <c r="CU50" s="58">
        <f t="shared" ref="CU50:EB50" si="42">SUM(CU25:CU49)</f>
        <v>0</v>
      </c>
      <c r="CV50" s="58">
        <f t="shared" si="42"/>
        <v>2537150673</v>
      </c>
      <c r="CW50" s="58">
        <f t="shared" si="42"/>
        <v>0</v>
      </c>
      <c r="CX50" s="58">
        <f t="shared" si="42"/>
        <v>0</v>
      </c>
      <c r="CY50" s="58">
        <f t="shared" si="42"/>
        <v>415281549</v>
      </c>
      <c r="CZ50" s="58">
        <f t="shared" si="42"/>
        <v>0</v>
      </c>
      <c r="DA50" s="58">
        <f t="shared" si="42"/>
        <v>162631546</v>
      </c>
      <c r="DB50" s="58">
        <f t="shared" si="42"/>
        <v>0</v>
      </c>
      <c r="DC50" s="58">
        <f t="shared" si="42"/>
        <v>118318185</v>
      </c>
      <c r="DD50" s="58" t="e">
        <f t="shared" si="42"/>
        <v>#DIV/0!</v>
      </c>
      <c r="DE50" s="58">
        <f t="shared" si="42"/>
        <v>3397095762</v>
      </c>
      <c r="DF50" s="58">
        <f t="shared" si="42"/>
        <v>0</v>
      </c>
      <c r="DG50" s="58">
        <f t="shared" si="42"/>
        <v>4536199</v>
      </c>
      <c r="DH50" s="58">
        <f t="shared" si="42"/>
        <v>0</v>
      </c>
      <c r="DI50" s="58">
        <f t="shared" si="42"/>
        <v>0</v>
      </c>
      <c r="DJ50" s="58">
        <f t="shared" si="42"/>
        <v>0</v>
      </c>
      <c r="DK50" s="58">
        <f t="shared" si="42"/>
        <v>0</v>
      </c>
      <c r="DL50" s="58">
        <f t="shared" si="42"/>
        <v>0</v>
      </c>
      <c r="DM50" s="58">
        <f t="shared" si="42"/>
        <v>1203493757</v>
      </c>
      <c r="DN50" s="58">
        <f t="shared" si="42"/>
        <v>79675540</v>
      </c>
      <c r="DO50" s="58">
        <f t="shared" si="42"/>
        <v>104291140</v>
      </c>
      <c r="DP50" s="58">
        <f t="shared" si="42"/>
        <v>104834591</v>
      </c>
      <c r="DQ50" s="58">
        <f t="shared" si="42"/>
        <v>0</v>
      </c>
      <c r="DR50" s="58">
        <f t="shared" si="42"/>
        <v>0</v>
      </c>
      <c r="DS50" s="58">
        <f t="shared" si="42"/>
        <v>0</v>
      </c>
      <c r="DT50" s="58">
        <f t="shared" si="42"/>
        <v>0</v>
      </c>
      <c r="DU50" s="58">
        <f t="shared" si="42"/>
        <v>1112849327</v>
      </c>
      <c r="DV50" s="58">
        <f t="shared" si="42"/>
        <v>0</v>
      </c>
      <c r="DW50" s="58">
        <f t="shared" si="42"/>
        <v>0</v>
      </c>
      <c r="DX50" s="58">
        <f t="shared" si="42"/>
        <v>343385666</v>
      </c>
      <c r="DY50" s="58">
        <f t="shared" si="42"/>
        <v>0</v>
      </c>
      <c r="DZ50" s="58">
        <f t="shared" si="42"/>
        <v>157450020</v>
      </c>
      <c r="EA50" s="58">
        <f t="shared" si="42"/>
        <v>0</v>
      </c>
      <c r="EB50" s="58">
        <f t="shared" si="42"/>
        <v>286579522</v>
      </c>
      <c r="ED50" s="31">
        <f t="shared" si="11"/>
        <v>7636534557</v>
      </c>
      <c r="EE50" s="31">
        <f t="shared" si="15"/>
        <v>7636534557</v>
      </c>
      <c r="EF50" s="31">
        <f t="shared" si="16"/>
        <v>7636534557</v>
      </c>
    </row>
    <row r="51" spans="1:136" ht="27.75" customHeight="1" thickTop="1" x14ac:dyDescent="0.25">
      <c r="A51" s="232" t="s">
        <v>170</v>
      </c>
      <c r="B51" s="234" t="s">
        <v>171</v>
      </c>
      <c r="C51" s="60" t="s">
        <v>172</v>
      </c>
      <c r="D51" s="35" t="s">
        <v>173</v>
      </c>
      <c r="E51" s="61">
        <v>520</v>
      </c>
      <c r="F51" s="53" t="s">
        <v>168</v>
      </c>
      <c r="G51" s="24">
        <f t="shared" ref="G51:G76" si="43">SUM(J51:AF51)</f>
        <v>31479049</v>
      </c>
      <c r="H51" s="25">
        <f>+[13]SP!$F5</f>
        <v>30000000</v>
      </c>
      <c r="I51" s="25">
        <f>+H51-G51</f>
        <v>-1479049</v>
      </c>
      <c r="J51" s="24"/>
      <c r="K51" s="24">
        <v>20674107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6">
        <f>26000000+10000000-15195058-10000000</f>
        <v>10804942</v>
      </c>
      <c r="AG51" s="48">
        <f t="shared" si="1"/>
        <v>1</v>
      </c>
      <c r="AH51" s="49">
        <f t="shared" ref="AH51:AH114" si="44">SUM(AI51:BE51)</f>
        <v>31479049</v>
      </c>
      <c r="AI51" s="24"/>
      <c r="AJ51" s="49">
        <f>+[3]SEPTIEMBRE!$K$3148</f>
        <v>20674107</v>
      </c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>
        <f>+'[5]FEBRERO 2020'!$AG$3380</f>
        <v>10804942</v>
      </c>
      <c r="BF51" s="48">
        <f t="shared" si="13"/>
        <v>0</v>
      </c>
      <c r="BG51" s="24">
        <f t="shared" ref="BG51:BG76" si="45">SUM(BH51:CD51)</f>
        <v>0</v>
      </c>
      <c r="BH51" s="24">
        <f t="shared" ref="BH51:BW66" si="46">+J51-AI51</f>
        <v>0</v>
      </c>
      <c r="BI51" s="24">
        <f t="shared" si="46"/>
        <v>0</v>
      </c>
      <c r="BJ51" s="24">
        <f t="shared" si="46"/>
        <v>0</v>
      </c>
      <c r="BK51" s="24">
        <f t="shared" si="46"/>
        <v>0</v>
      </c>
      <c r="BL51" s="24">
        <f t="shared" si="46"/>
        <v>0</v>
      </c>
      <c r="BM51" s="24">
        <f t="shared" si="46"/>
        <v>0</v>
      </c>
      <c r="BN51" s="24">
        <f t="shared" si="46"/>
        <v>0</v>
      </c>
      <c r="BO51" s="24">
        <f t="shared" si="46"/>
        <v>0</v>
      </c>
      <c r="BP51" s="24">
        <f t="shared" si="46"/>
        <v>0</v>
      </c>
      <c r="BQ51" s="24">
        <f t="shared" si="46"/>
        <v>0</v>
      </c>
      <c r="BR51" s="24">
        <f t="shared" si="46"/>
        <v>0</v>
      </c>
      <c r="BS51" s="24">
        <f t="shared" si="46"/>
        <v>0</v>
      </c>
      <c r="BT51" s="24">
        <f t="shared" si="46"/>
        <v>0</v>
      </c>
      <c r="BU51" s="24">
        <f t="shared" si="46"/>
        <v>0</v>
      </c>
      <c r="BV51" s="24">
        <f t="shared" si="46"/>
        <v>0</v>
      </c>
      <c r="BW51" s="24">
        <f t="shared" si="46"/>
        <v>0</v>
      </c>
      <c r="BX51" s="24">
        <f t="shared" ref="BX51:CD76" si="47">+Z51-AY51</f>
        <v>0</v>
      </c>
      <c r="BY51" s="24">
        <f t="shared" si="47"/>
        <v>0</v>
      </c>
      <c r="BZ51" s="24">
        <f t="shared" si="47"/>
        <v>0</v>
      </c>
      <c r="CA51" s="24">
        <f t="shared" si="47"/>
        <v>0</v>
      </c>
      <c r="CB51" s="24">
        <f t="shared" si="47"/>
        <v>0</v>
      </c>
      <c r="CC51" s="24">
        <f t="shared" si="47"/>
        <v>0</v>
      </c>
      <c r="CD51" s="24">
        <f t="shared" si="47"/>
        <v>0</v>
      </c>
      <c r="CE51" s="48">
        <f t="shared" ref="CE51:CE114" si="48">CF51/G51</f>
        <v>0.79799656590642243</v>
      </c>
      <c r="CF51" s="24">
        <f t="shared" ref="CF51:CF114" si="49">SUM(CG51:DC51)</f>
        <v>25120173</v>
      </c>
      <c r="CG51" s="24"/>
      <c r="CH51" s="24">
        <f>+[3]SEPTIEMBRE!$H$3155+[3]SEPTIEMBRE!$H$3159+[2]OCTUBRE!$H$3356</f>
        <v>14608564</v>
      </c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+'[5]FEBRERO 2020'!$H$3378</f>
        <v>10511609</v>
      </c>
      <c r="DD51" s="27">
        <f t="shared" si="8"/>
        <v>0.20200343409357757</v>
      </c>
      <c r="DE51" s="24">
        <f t="shared" ref="DE51:DE96" si="50">SUM(DF51:EB51)</f>
        <v>6358876</v>
      </c>
      <c r="DF51" s="24">
        <f t="shared" ref="DF51:DU66" si="51">+J51-CG51</f>
        <v>0</v>
      </c>
      <c r="DG51" s="24">
        <f t="shared" si="51"/>
        <v>6065543</v>
      </c>
      <c r="DH51" s="24">
        <f t="shared" si="51"/>
        <v>0</v>
      </c>
      <c r="DI51" s="24">
        <f t="shared" si="51"/>
        <v>0</v>
      </c>
      <c r="DJ51" s="24">
        <f t="shared" si="51"/>
        <v>0</v>
      </c>
      <c r="DK51" s="24">
        <f t="shared" si="51"/>
        <v>0</v>
      </c>
      <c r="DL51" s="24">
        <f t="shared" si="51"/>
        <v>0</v>
      </c>
      <c r="DM51" s="24">
        <f t="shared" si="51"/>
        <v>0</v>
      </c>
      <c r="DN51" s="24">
        <f t="shared" si="51"/>
        <v>0</v>
      </c>
      <c r="DO51" s="24">
        <f t="shared" si="51"/>
        <v>0</v>
      </c>
      <c r="DP51" s="24">
        <f t="shared" si="51"/>
        <v>0</v>
      </c>
      <c r="DQ51" s="24">
        <f t="shared" si="51"/>
        <v>0</v>
      </c>
      <c r="DR51" s="24">
        <f t="shared" si="51"/>
        <v>0</v>
      </c>
      <c r="DS51" s="24">
        <f t="shared" si="51"/>
        <v>0</v>
      </c>
      <c r="DT51" s="24">
        <f t="shared" si="51"/>
        <v>0</v>
      </c>
      <c r="DU51" s="24">
        <f t="shared" si="51"/>
        <v>0</v>
      </c>
      <c r="DV51" s="24">
        <f t="shared" ref="DV51:EB76" si="52">+Z51-CW51</f>
        <v>0</v>
      </c>
      <c r="DW51" s="24">
        <f t="shared" si="52"/>
        <v>0</v>
      </c>
      <c r="DX51" s="24">
        <f t="shared" si="52"/>
        <v>0</v>
      </c>
      <c r="DY51" s="24">
        <f t="shared" si="52"/>
        <v>0</v>
      </c>
      <c r="DZ51" s="24">
        <f t="shared" si="52"/>
        <v>0</v>
      </c>
      <c r="EA51" s="24">
        <f t="shared" si="52"/>
        <v>0</v>
      </c>
      <c r="EB51" s="24">
        <f t="shared" si="52"/>
        <v>293333</v>
      </c>
      <c r="ED51" s="31">
        <f t="shared" si="11"/>
        <v>31479049</v>
      </c>
      <c r="EE51" s="31">
        <f t="shared" si="15"/>
        <v>31479049</v>
      </c>
      <c r="EF51" s="31">
        <f t="shared" si="16"/>
        <v>31479049</v>
      </c>
    </row>
    <row r="52" spans="1:136" ht="24.75" customHeight="1" x14ac:dyDescent="0.25">
      <c r="A52" s="233"/>
      <c r="B52" s="231"/>
      <c r="C52" s="34" t="s">
        <v>174</v>
      </c>
      <c r="D52" s="35" t="s">
        <v>175</v>
      </c>
      <c r="E52" s="22">
        <v>520</v>
      </c>
      <c r="F52" s="23" t="s">
        <v>176</v>
      </c>
      <c r="G52" s="24">
        <f t="shared" si="43"/>
        <v>88100000</v>
      </c>
      <c r="H52" s="25">
        <f>+[13]SP!$F6</f>
        <v>70000000</v>
      </c>
      <c r="I52" s="25">
        <f t="shared" ref="I52:I76" si="53">+H52-G52</f>
        <v>-18100000</v>
      </c>
      <c r="J52" s="24"/>
      <c r="K52" s="24">
        <f>66500000+3500000+13100000</f>
        <v>83100000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6">
        <v>5000000</v>
      </c>
      <c r="AG52" s="27">
        <f t="shared" si="1"/>
        <v>0.94324631101021561</v>
      </c>
      <c r="AH52" s="24">
        <f t="shared" si="44"/>
        <v>83100000</v>
      </c>
      <c r="AI52" s="24"/>
      <c r="AJ52" s="24">
        <f>+[3]SEPTIEMBRE!$K$3164</f>
        <v>83100000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7">
        <f t="shared" si="13"/>
        <v>5.675368898978439E-2</v>
      </c>
      <c r="BG52" s="24">
        <f t="shared" si="45"/>
        <v>5000000</v>
      </c>
      <c r="BH52" s="24">
        <f t="shared" si="46"/>
        <v>0</v>
      </c>
      <c r="BI52" s="24">
        <f t="shared" si="46"/>
        <v>0</v>
      </c>
      <c r="BJ52" s="24">
        <f t="shared" si="46"/>
        <v>0</v>
      </c>
      <c r="BK52" s="24">
        <f t="shared" si="46"/>
        <v>0</v>
      </c>
      <c r="BL52" s="24">
        <f t="shared" si="46"/>
        <v>0</v>
      </c>
      <c r="BM52" s="24">
        <f t="shared" si="46"/>
        <v>0</v>
      </c>
      <c r="BN52" s="24">
        <f t="shared" si="46"/>
        <v>0</v>
      </c>
      <c r="BO52" s="24">
        <f t="shared" si="46"/>
        <v>0</v>
      </c>
      <c r="BP52" s="24">
        <f t="shared" si="46"/>
        <v>0</v>
      </c>
      <c r="BQ52" s="24">
        <f t="shared" si="46"/>
        <v>0</v>
      </c>
      <c r="BR52" s="24">
        <f t="shared" si="46"/>
        <v>0</v>
      </c>
      <c r="BS52" s="24">
        <f t="shared" si="46"/>
        <v>0</v>
      </c>
      <c r="BT52" s="24">
        <f t="shared" si="46"/>
        <v>0</v>
      </c>
      <c r="BU52" s="24">
        <f t="shared" si="46"/>
        <v>0</v>
      </c>
      <c r="BV52" s="24">
        <f t="shared" si="46"/>
        <v>0</v>
      </c>
      <c r="BW52" s="24">
        <f t="shared" si="46"/>
        <v>0</v>
      </c>
      <c r="BX52" s="24">
        <f t="shared" si="47"/>
        <v>0</v>
      </c>
      <c r="BY52" s="24">
        <f t="shared" si="47"/>
        <v>0</v>
      </c>
      <c r="BZ52" s="24">
        <f t="shared" si="47"/>
        <v>0</v>
      </c>
      <c r="CA52" s="24">
        <f t="shared" si="47"/>
        <v>0</v>
      </c>
      <c r="CB52" s="24">
        <f t="shared" si="47"/>
        <v>0</v>
      </c>
      <c r="CC52" s="24">
        <f t="shared" si="47"/>
        <v>0</v>
      </c>
      <c r="CD52" s="24">
        <f t="shared" si="47"/>
        <v>5000000</v>
      </c>
      <c r="CE52" s="27">
        <f t="shared" si="48"/>
        <v>0.73076044267877416</v>
      </c>
      <c r="CF52" s="24">
        <f t="shared" si="49"/>
        <v>64379995</v>
      </c>
      <c r="CG52" s="24"/>
      <c r="CH52" s="24">
        <f>+[8]AGOSTO!$H$2821+[2]OCTUBRE!$H$3384</f>
        <v>64379995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7">
        <f t="shared" si="8"/>
        <v>0.26923955732122584</v>
      </c>
      <c r="DE52" s="24">
        <f t="shared" si="50"/>
        <v>23720005</v>
      </c>
      <c r="DF52" s="24">
        <f t="shared" si="51"/>
        <v>0</v>
      </c>
      <c r="DG52" s="24">
        <f t="shared" si="51"/>
        <v>18720005</v>
      </c>
      <c r="DH52" s="24">
        <f t="shared" si="51"/>
        <v>0</v>
      </c>
      <c r="DI52" s="24">
        <f t="shared" si="51"/>
        <v>0</v>
      </c>
      <c r="DJ52" s="24">
        <f t="shared" si="51"/>
        <v>0</v>
      </c>
      <c r="DK52" s="24">
        <f t="shared" si="51"/>
        <v>0</v>
      </c>
      <c r="DL52" s="24">
        <f t="shared" si="51"/>
        <v>0</v>
      </c>
      <c r="DM52" s="24">
        <f t="shared" si="51"/>
        <v>0</v>
      </c>
      <c r="DN52" s="24">
        <f t="shared" si="51"/>
        <v>0</v>
      </c>
      <c r="DO52" s="24">
        <f t="shared" si="51"/>
        <v>0</v>
      </c>
      <c r="DP52" s="24">
        <f t="shared" si="51"/>
        <v>0</v>
      </c>
      <c r="DQ52" s="24">
        <f t="shared" si="51"/>
        <v>0</v>
      </c>
      <c r="DR52" s="24">
        <f t="shared" si="51"/>
        <v>0</v>
      </c>
      <c r="DS52" s="24">
        <f t="shared" si="51"/>
        <v>0</v>
      </c>
      <c r="DT52" s="24">
        <f t="shared" si="51"/>
        <v>0</v>
      </c>
      <c r="DU52" s="24">
        <f t="shared" si="51"/>
        <v>0</v>
      </c>
      <c r="DV52" s="24">
        <f t="shared" si="52"/>
        <v>0</v>
      </c>
      <c r="DW52" s="24">
        <f t="shared" si="52"/>
        <v>0</v>
      </c>
      <c r="DX52" s="24">
        <f t="shared" si="52"/>
        <v>0</v>
      </c>
      <c r="DY52" s="24">
        <f t="shared" si="52"/>
        <v>0</v>
      </c>
      <c r="DZ52" s="24">
        <f t="shared" si="52"/>
        <v>0</v>
      </c>
      <c r="EA52" s="24">
        <f t="shared" si="52"/>
        <v>0</v>
      </c>
      <c r="EB52" s="24">
        <f t="shared" si="52"/>
        <v>5000000</v>
      </c>
      <c r="ED52" s="31">
        <f t="shared" si="11"/>
        <v>88100000</v>
      </c>
      <c r="EE52" s="31">
        <f t="shared" si="15"/>
        <v>88100000</v>
      </c>
      <c r="EF52" s="31">
        <f t="shared" si="16"/>
        <v>88100000</v>
      </c>
    </row>
    <row r="53" spans="1:136" ht="21.6" customHeight="1" x14ac:dyDescent="0.25">
      <c r="A53" s="233"/>
      <c r="B53" s="231"/>
      <c r="C53" s="34" t="s">
        <v>177</v>
      </c>
      <c r="D53" s="35" t="s">
        <v>178</v>
      </c>
      <c r="E53" s="22">
        <v>520</v>
      </c>
      <c r="F53" s="23" t="s">
        <v>117</v>
      </c>
      <c r="G53" s="24">
        <f t="shared" si="43"/>
        <v>20000000</v>
      </c>
      <c r="H53" s="25">
        <f>+[13]SP!$F7</f>
        <v>40000000</v>
      </c>
      <c r="I53" s="25">
        <f t="shared" si="53"/>
        <v>20000000</v>
      </c>
      <c r="J53" s="24"/>
      <c r="K53" s="24">
        <f>14174107+11500000-5674107</f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6">
        <v>0</v>
      </c>
      <c r="AG53" s="27">
        <f t="shared" si="1"/>
        <v>0</v>
      </c>
      <c r="AH53" s="24">
        <f t="shared" si="44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3"/>
        <v>1</v>
      </c>
      <c r="BG53" s="24">
        <f t="shared" si="45"/>
        <v>20000000</v>
      </c>
      <c r="BH53" s="24">
        <f t="shared" si="46"/>
        <v>0</v>
      </c>
      <c r="BI53" s="24">
        <f t="shared" si="46"/>
        <v>20000000</v>
      </c>
      <c r="BJ53" s="24">
        <f t="shared" si="46"/>
        <v>0</v>
      </c>
      <c r="BK53" s="24">
        <f t="shared" si="46"/>
        <v>0</v>
      </c>
      <c r="BL53" s="24">
        <f t="shared" si="46"/>
        <v>0</v>
      </c>
      <c r="BM53" s="24">
        <f t="shared" si="46"/>
        <v>0</v>
      </c>
      <c r="BN53" s="24">
        <f t="shared" si="46"/>
        <v>0</v>
      </c>
      <c r="BO53" s="24">
        <f t="shared" si="46"/>
        <v>0</v>
      </c>
      <c r="BP53" s="24">
        <f t="shared" si="46"/>
        <v>0</v>
      </c>
      <c r="BQ53" s="24">
        <f t="shared" si="46"/>
        <v>0</v>
      </c>
      <c r="BR53" s="24">
        <f t="shared" si="46"/>
        <v>0</v>
      </c>
      <c r="BS53" s="24">
        <f t="shared" si="46"/>
        <v>0</v>
      </c>
      <c r="BT53" s="24">
        <f t="shared" si="46"/>
        <v>0</v>
      </c>
      <c r="BU53" s="24">
        <f t="shared" si="46"/>
        <v>0</v>
      </c>
      <c r="BV53" s="24">
        <f t="shared" si="46"/>
        <v>0</v>
      </c>
      <c r="BW53" s="24">
        <f t="shared" si="46"/>
        <v>0</v>
      </c>
      <c r="BX53" s="24">
        <f t="shared" si="47"/>
        <v>0</v>
      </c>
      <c r="BY53" s="24">
        <f t="shared" si="47"/>
        <v>0</v>
      </c>
      <c r="BZ53" s="24">
        <f t="shared" si="47"/>
        <v>0</v>
      </c>
      <c r="CA53" s="24">
        <f t="shared" si="47"/>
        <v>0</v>
      </c>
      <c r="CB53" s="24">
        <f t="shared" si="47"/>
        <v>0</v>
      </c>
      <c r="CC53" s="24">
        <f t="shared" si="47"/>
        <v>0</v>
      </c>
      <c r="CD53" s="24">
        <f t="shared" si="47"/>
        <v>0</v>
      </c>
      <c r="CE53" s="27">
        <f t="shared" si="48"/>
        <v>0</v>
      </c>
      <c r="CF53" s="24">
        <f t="shared" si="49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1</v>
      </c>
      <c r="DE53" s="24">
        <f t="shared" si="50"/>
        <v>20000000</v>
      </c>
      <c r="DF53" s="24">
        <f t="shared" si="51"/>
        <v>0</v>
      </c>
      <c r="DG53" s="24">
        <f t="shared" si="51"/>
        <v>20000000</v>
      </c>
      <c r="DH53" s="24">
        <f t="shared" si="51"/>
        <v>0</v>
      </c>
      <c r="DI53" s="24">
        <f t="shared" si="51"/>
        <v>0</v>
      </c>
      <c r="DJ53" s="24">
        <f t="shared" si="51"/>
        <v>0</v>
      </c>
      <c r="DK53" s="24">
        <f t="shared" si="51"/>
        <v>0</v>
      </c>
      <c r="DL53" s="24">
        <f t="shared" si="51"/>
        <v>0</v>
      </c>
      <c r="DM53" s="24">
        <f t="shared" si="51"/>
        <v>0</v>
      </c>
      <c r="DN53" s="24">
        <f t="shared" si="51"/>
        <v>0</v>
      </c>
      <c r="DO53" s="24">
        <f t="shared" si="51"/>
        <v>0</v>
      </c>
      <c r="DP53" s="24">
        <f t="shared" si="51"/>
        <v>0</v>
      </c>
      <c r="DQ53" s="24">
        <f t="shared" si="51"/>
        <v>0</v>
      </c>
      <c r="DR53" s="24">
        <f t="shared" si="51"/>
        <v>0</v>
      </c>
      <c r="DS53" s="24">
        <f t="shared" si="51"/>
        <v>0</v>
      </c>
      <c r="DT53" s="24">
        <f t="shared" si="51"/>
        <v>0</v>
      </c>
      <c r="DU53" s="24">
        <f t="shared" si="51"/>
        <v>0</v>
      </c>
      <c r="DV53" s="24">
        <f t="shared" si="52"/>
        <v>0</v>
      </c>
      <c r="DW53" s="24">
        <f t="shared" si="52"/>
        <v>0</v>
      </c>
      <c r="DX53" s="24">
        <f t="shared" si="52"/>
        <v>0</v>
      </c>
      <c r="DY53" s="24">
        <f t="shared" si="52"/>
        <v>0</v>
      </c>
      <c r="DZ53" s="24">
        <f t="shared" si="52"/>
        <v>0</v>
      </c>
      <c r="EA53" s="24">
        <f t="shared" si="52"/>
        <v>0</v>
      </c>
      <c r="EB53" s="24">
        <f t="shared" si="52"/>
        <v>0</v>
      </c>
      <c r="ED53" s="31">
        <f t="shared" si="11"/>
        <v>20000000</v>
      </c>
      <c r="EE53" s="31">
        <f t="shared" si="15"/>
        <v>20000000</v>
      </c>
      <c r="EF53" s="31">
        <f t="shared" si="16"/>
        <v>20000000</v>
      </c>
    </row>
    <row r="54" spans="1:136" ht="83.25" customHeight="1" x14ac:dyDescent="0.25">
      <c r="A54" s="233"/>
      <c r="B54" s="229"/>
      <c r="C54" s="34" t="s">
        <v>179</v>
      </c>
      <c r="D54" s="35" t="s">
        <v>180</v>
      </c>
      <c r="E54" s="22">
        <v>520</v>
      </c>
      <c r="F54" s="23" t="s">
        <v>181</v>
      </c>
      <c r="G54" s="24">
        <f t="shared" si="43"/>
        <v>139753206</v>
      </c>
      <c r="H54" s="25">
        <f>+[13]SP!$F8</f>
        <v>329420000</v>
      </c>
      <c r="I54" s="25">
        <f t="shared" si="53"/>
        <v>189666794</v>
      </c>
      <c r="J54" s="24"/>
      <c r="K54" s="24">
        <f>105825893-22993638-28100000</f>
        <v>54732255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6">
        <f>94825893+8000000+8195058+10000000-10000000-13000000-8000000-5000000</f>
        <v>85020951</v>
      </c>
      <c r="AG54" s="27">
        <f t="shared" si="1"/>
        <v>0.63436948272943372</v>
      </c>
      <c r="AH54" s="24">
        <f t="shared" si="44"/>
        <v>88655169</v>
      </c>
      <c r="AI54" s="24"/>
      <c r="AJ54" s="24">
        <f>+[8]AGOSTO!$K$2854</f>
        <v>54732255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+[2]OCTUBRE!$AG$3406</f>
        <v>33922914</v>
      </c>
      <c r="BF54" s="27">
        <f t="shared" si="13"/>
        <v>0.36563051727056628</v>
      </c>
      <c r="BG54" s="24">
        <f t="shared" si="45"/>
        <v>51098037</v>
      </c>
      <c r="BH54" s="24">
        <f t="shared" si="46"/>
        <v>0</v>
      </c>
      <c r="BI54" s="24">
        <f t="shared" si="46"/>
        <v>0</v>
      </c>
      <c r="BJ54" s="24">
        <f t="shared" si="46"/>
        <v>0</v>
      </c>
      <c r="BK54" s="24">
        <f t="shared" si="46"/>
        <v>0</v>
      </c>
      <c r="BL54" s="24">
        <f t="shared" si="46"/>
        <v>0</v>
      </c>
      <c r="BM54" s="24">
        <f t="shared" si="46"/>
        <v>0</v>
      </c>
      <c r="BN54" s="24">
        <f t="shared" si="46"/>
        <v>0</v>
      </c>
      <c r="BO54" s="24">
        <f t="shared" si="46"/>
        <v>0</v>
      </c>
      <c r="BP54" s="24">
        <f t="shared" si="46"/>
        <v>0</v>
      </c>
      <c r="BQ54" s="24">
        <f t="shared" si="46"/>
        <v>0</v>
      </c>
      <c r="BR54" s="24">
        <f t="shared" si="46"/>
        <v>0</v>
      </c>
      <c r="BS54" s="24">
        <f t="shared" si="46"/>
        <v>0</v>
      </c>
      <c r="BT54" s="24">
        <f t="shared" si="46"/>
        <v>0</v>
      </c>
      <c r="BU54" s="24">
        <f t="shared" si="46"/>
        <v>0</v>
      </c>
      <c r="BV54" s="24">
        <f t="shared" si="46"/>
        <v>0</v>
      </c>
      <c r="BW54" s="24">
        <f t="shared" si="46"/>
        <v>0</v>
      </c>
      <c r="BX54" s="24">
        <f t="shared" si="47"/>
        <v>0</v>
      </c>
      <c r="BY54" s="24">
        <f t="shared" si="47"/>
        <v>0</v>
      </c>
      <c r="BZ54" s="24">
        <f t="shared" si="47"/>
        <v>0</v>
      </c>
      <c r="CA54" s="24">
        <f t="shared" si="47"/>
        <v>0</v>
      </c>
      <c r="CB54" s="24">
        <f t="shared" si="47"/>
        <v>0</v>
      </c>
      <c r="CC54" s="24">
        <f t="shared" si="47"/>
        <v>0</v>
      </c>
      <c r="CD54" s="24">
        <f t="shared" si="47"/>
        <v>51098037</v>
      </c>
      <c r="CE54" s="27">
        <f t="shared" si="48"/>
        <v>0.33084459615187645</v>
      </c>
      <c r="CF54" s="24">
        <f>SUM(CG54:DC54)</f>
        <v>46236593</v>
      </c>
      <c r="CG54" s="24"/>
      <c r="CH54" s="24">
        <f>+[2]OCTUBRE!$H$3407+[2]OCTUBRE!$H$3434</f>
        <v>29965000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+[3]SEPTIEMBRE!$H$3209+[3]SEPTIEMBRE!$H$3214+[3]SEPTIEMBRE!$H$3220+[3]SEPTIEMBRE!$H$3224+[3]SEPTIEMBRE!$H$3240+[3]SEPTIEMBRE!$H$3249</f>
        <v>16271593</v>
      </c>
      <c r="DD54" s="27">
        <f t="shared" si="8"/>
        <v>0.66915540384812355</v>
      </c>
      <c r="DE54" s="24">
        <f t="shared" si="50"/>
        <v>93516613</v>
      </c>
      <c r="DF54" s="24">
        <f t="shared" si="51"/>
        <v>0</v>
      </c>
      <c r="DG54" s="24">
        <f t="shared" si="51"/>
        <v>24767255</v>
      </c>
      <c r="DH54" s="24">
        <f t="shared" si="51"/>
        <v>0</v>
      </c>
      <c r="DI54" s="24">
        <f t="shared" si="51"/>
        <v>0</v>
      </c>
      <c r="DJ54" s="24">
        <f t="shared" si="51"/>
        <v>0</v>
      </c>
      <c r="DK54" s="24">
        <f t="shared" si="51"/>
        <v>0</v>
      </c>
      <c r="DL54" s="24">
        <f t="shared" si="51"/>
        <v>0</v>
      </c>
      <c r="DM54" s="24">
        <f t="shared" si="51"/>
        <v>0</v>
      </c>
      <c r="DN54" s="24">
        <f t="shared" si="51"/>
        <v>0</v>
      </c>
      <c r="DO54" s="24">
        <f t="shared" si="51"/>
        <v>0</v>
      </c>
      <c r="DP54" s="24">
        <f t="shared" si="51"/>
        <v>0</v>
      </c>
      <c r="DQ54" s="24">
        <f t="shared" si="51"/>
        <v>0</v>
      </c>
      <c r="DR54" s="24">
        <f t="shared" si="51"/>
        <v>0</v>
      </c>
      <c r="DS54" s="24">
        <f t="shared" si="51"/>
        <v>0</v>
      </c>
      <c r="DT54" s="24">
        <f t="shared" si="51"/>
        <v>0</v>
      </c>
      <c r="DU54" s="24">
        <f t="shared" si="51"/>
        <v>0</v>
      </c>
      <c r="DV54" s="24">
        <f t="shared" si="52"/>
        <v>0</v>
      </c>
      <c r="DW54" s="24">
        <f t="shared" si="52"/>
        <v>0</v>
      </c>
      <c r="DX54" s="24">
        <f t="shared" si="52"/>
        <v>0</v>
      </c>
      <c r="DY54" s="24">
        <f t="shared" si="52"/>
        <v>0</v>
      </c>
      <c r="DZ54" s="24">
        <f t="shared" si="52"/>
        <v>0</v>
      </c>
      <c r="EA54" s="24">
        <f t="shared" si="52"/>
        <v>0</v>
      </c>
      <c r="EB54" s="24">
        <f t="shared" si="52"/>
        <v>68749358</v>
      </c>
      <c r="ED54" s="31">
        <f t="shared" si="11"/>
        <v>139753206</v>
      </c>
      <c r="EE54" s="31">
        <f t="shared" si="15"/>
        <v>139753206</v>
      </c>
      <c r="EF54" s="31">
        <f t="shared" si="16"/>
        <v>139753206</v>
      </c>
    </row>
    <row r="55" spans="1:136" ht="28.9" customHeight="1" x14ac:dyDescent="0.25">
      <c r="A55" s="233"/>
      <c r="B55" s="228" t="s">
        <v>182</v>
      </c>
      <c r="C55" s="62" t="s">
        <v>183</v>
      </c>
      <c r="D55" s="35" t="s">
        <v>184</v>
      </c>
      <c r="E55" s="22">
        <v>520</v>
      </c>
      <c r="F55" s="23" t="s">
        <v>117</v>
      </c>
      <c r="G55" s="24">
        <f t="shared" si="43"/>
        <v>185467283</v>
      </c>
      <c r="H55" s="25">
        <f>+[13]SP!$F$14+[13]SP!$F$17</f>
        <v>406000000</v>
      </c>
      <c r="I55" s="25">
        <f t="shared" si="53"/>
        <v>220532717</v>
      </c>
      <c r="J55" s="24"/>
      <c r="K55" s="24">
        <f>80000000+23733866+36566750</f>
        <v>140300616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v>45166667</v>
      </c>
      <c r="AB55" s="24"/>
      <c r="AC55" s="24"/>
      <c r="AD55" s="24"/>
      <c r="AE55" s="24"/>
      <c r="AF55" s="24">
        <v>0</v>
      </c>
      <c r="AG55" s="27">
        <f t="shared" si="1"/>
        <v>1</v>
      </c>
      <c r="AH55" s="24">
        <f t="shared" si="44"/>
        <v>185467283</v>
      </c>
      <c r="AI55" s="24"/>
      <c r="AJ55" s="24">
        <f>+[4]JULIO!$K$2743</f>
        <v>140300616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>
        <f>+[3]SEPTIEMBRE!$AA$3260</f>
        <v>45166667</v>
      </c>
      <c r="BA55" s="24"/>
      <c r="BB55" s="24"/>
      <c r="BC55" s="24"/>
      <c r="BD55" s="24"/>
      <c r="BE55" s="24"/>
      <c r="BF55" s="27">
        <f t="shared" si="13"/>
        <v>0</v>
      </c>
      <c r="BG55" s="24">
        <f t="shared" si="45"/>
        <v>0</v>
      </c>
      <c r="BH55" s="24">
        <f t="shared" si="46"/>
        <v>0</v>
      </c>
      <c r="BI55" s="24">
        <f t="shared" si="46"/>
        <v>0</v>
      </c>
      <c r="BJ55" s="24">
        <f t="shared" si="46"/>
        <v>0</v>
      </c>
      <c r="BK55" s="24">
        <f t="shared" si="46"/>
        <v>0</v>
      </c>
      <c r="BL55" s="24">
        <f t="shared" si="46"/>
        <v>0</v>
      </c>
      <c r="BM55" s="24">
        <f t="shared" si="46"/>
        <v>0</v>
      </c>
      <c r="BN55" s="24">
        <f t="shared" si="46"/>
        <v>0</v>
      </c>
      <c r="BO55" s="24">
        <f t="shared" si="46"/>
        <v>0</v>
      </c>
      <c r="BP55" s="24">
        <f t="shared" si="46"/>
        <v>0</v>
      </c>
      <c r="BQ55" s="24">
        <f t="shared" si="46"/>
        <v>0</v>
      </c>
      <c r="BR55" s="24">
        <f t="shared" si="46"/>
        <v>0</v>
      </c>
      <c r="BS55" s="24">
        <f t="shared" si="46"/>
        <v>0</v>
      </c>
      <c r="BT55" s="24">
        <f t="shared" si="46"/>
        <v>0</v>
      </c>
      <c r="BU55" s="24">
        <f t="shared" si="46"/>
        <v>0</v>
      </c>
      <c r="BV55" s="24">
        <f t="shared" si="46"/>
        <v>0</v>
      </c>
      <c r="BW55" s="24">
        <f t="shared" si="46"/>
        <v>0</v>
      </c>
      <c r="BX55" s="24">
        <f t="shared" si="47"/>
        <v>0</v>
      </c>
      <c r="BY55" s="24">
        <f t="shared" si="47"/>
        <v>0</v>
      </c>
      <c r="BZ55" s="24">
        <f t="shared" si="47"/>
        <v>0</v>
      </c>
      <c r="CA55" s="24">
        <f t="shared" si="47"/>
        <v>0</v>
      </c>
      <c r="CB55" s="24">
        <f t="shared" si="47"/>
        <v>0</v>
      </c>
      <c r="CC55" s="24">
        <f t="shared" si="47"/>
        <v>0</v>
      </c>
      <c r="CD55" s="24">
        <f t="shared" si="47"/>
        <v>0</v>
      </c>
      <c r="CE55" s="27">
        <f t="shared" si="48"/>
        <v>0.85278510819614473</v>
      </c>
      <c r="CF55" s="24">
        <f t="shared" si="49"/>
        <v>158163737</v>
      </c>
      <c r="CG55" s="24"/>
      <c r="CH55" s="24">
        <f>+[2]OCTUBRE!$H$3467+[2]OCTUBRE!$H$3480+[2]OCTUBRE!$H$3492+[2]OCTUBRE!$H$3495</f>
        <v>138591030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>
        <f>+[2]OCTUBRE!$H$3510</f>
        <v>19572707</v>
      </c>
      <c r="CY55" s="24"/>
      <c r="CZ55" s="24"/>
      <c r="DA55" s="24"/>
      <c r="DB55" s="24"/>
      <c r="DC55" s="24"/>
      <c r="DD55" s="27">
        <f t="shared" si="8"/>
        <v>0.14721489180385527</v>
      </c>
      <c r="DE55" s="24">
        <f t="shared" si="50"/>
        <v>27303546</v>
      </c>
      <c r="DF55" s="24">
        <f t="shared" si="51"/>
        <v>0</v>
      </c>
      <c r="DG55" s="24">
        <f t="shared" si="51"/>
        <v>1709586</v>
      </c>
      <c r="DH55" s="24">
        <f t="shared" si="51"/>
        <v>0</v>
      </c>
      <c r="DI55" s="24">
        <f t="shared" si="51"/>
        <v>0</v>
      </c>
      <c r="DJ55" s="24">
        <f t="shared" si="51"/>
        <v>0</v>
      </c>
      <c r="DK55" s="24">
        <f t="shared" si="51"/>
        <v>0</v>
      </c>
      <c r="DL55" s="24">
        <f t="shared" si="51"/>
        <v>0</v>
      </c>
      <c r="DM55" s="24">
        <f t="shared" si="51"/>
        <v>0</v>
      </c>
      <c r="DN55" s="24">
        <f t="shared" si="51"/>
        <v>0</v>
      </c>
      <c r="DO55" s="24">
        <f t="shared" si="51"/>
        <v>0</v>
      </c>
      <c r="DP55" s="24">
        <f t="shared" si="51"/>
        <v>0</v>
      </c>
      <c r="DQ55" s="24">
        <f t="shared" si="51"/>
        <v>0</v>
      </c>
      <c r="DR55" s="24">
        <f t="shared" si="51"/>
        <v>0</v>
      </c>
      <c r="DS55" s="24">
        <f t="shared" si="51"/>
        <v>0</v>
      </c>
      <c r="DT55" s="24">
        <f t="shared" si="51"/>
        <v>0</v>
      </c>
      <c r="DU55" s="24">
        <f t="shared" si="51"/>
        <v>0</v>
      </c>
      <c r="DV55" s="24">
        <f t="shared" si="52"/>
        <v>0</v>
      </c>
      <c r="DW55" s="24">
        <f t="shared" si="52"/>
        <v>25593960</v>
      </c>
      <c r="DX55" s="24">
        <f t="shared" si="52"/>
        <v>0</v>
      </c>
      <c r="DY55" s="24">
        <f t="shared" si="52"/>
        <v>0</v>
      </c>
      <c r="DZ55" s="24">
        <f t="shared" si="52"/>
        <v>0</v>
      </c>
      <c r="EA55" s="24">
        <f t="shared" si="52"/>
        <v>0</v>
      </c>
      <c r="EB55" s="24">
        <f t="shared" si="52"/>
        <v>0</v>
      </c>
      <c r="ED55" s="31">
        <f t="shared" si="11"/>
        <v>185467283</v>
      </c>
      <c r="EE55" s="31">
        <f t="shared" si="15"/>
        <v>185467283</v>
      </c>
      <c r="EF55" s="31">
        <f t="shared" si="16"/>
        <v>185467283</v>
      </c>
    </row>
    <row r="56" spans="1:136" ht="30.75" customHeight="1" x14ac:dyDescent="0.25">
      <c r="A56" s="233"/>
      <c r="B56" s="231"/>
      <c r="C56" s="34" t="s">
        <v>185</v>
      </c>
      <c r="D56" s="21" t="s">
        <v>186</v>
      </c>
      <c r="E56" s="22">
        <v>520</v>
      </c>
      <c r="F56" s="23" t="s">
        <v>117</v>
      </c>
      <c r="G56" s="24">
        <f t="shared" si="43"/>
        <v>36200000</v>
      </c>
      <c r="H56" s="25">
        <f>+[13]SP!$F$18</f>
        <v>144500000</v>
      </c>
      <c r="I56" s="25">
        <f t="shared" si="53"/>
        <v>108300000</v>
      </c>
      <c r="J56" s="24"/>
      <c r="K56" s="24">
        <f>40000000-3800000</f>
        <v>36200000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7">
        <f t="shared" si="1"/>
        <v>0.97790055248618779</v>
      </c>
      <c r="AH56" s="24">
        <f t="shared" si="44"/>
        <v>35400000</v>
      </c>
      <c r="AI56" s="24"/>
      <c r="AJ56" s="24">
        <f>+[8]AGOSTO!$K$2955</f>
        <v>35400000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3"/>
        <v>2.2099447513812209E-2</v>
      </c>
      <c r="BG56" s="24">
        <f t="shared" si="45"/>
        <v>800000</v>
      </c>
      <c r="BH56" s="24">
        <f t="shared" si="46"/>
        <v>0</v>
      </c>
      <c r="BI56" s="24">
        <f t="shared" si="46"/>
        <v>800000</v>
      </c>
      <c r="BJ56" s="24">
        <f t="shared" si="46"/>
        <v>0</v>
      </c>
      <c r="BK56" s="24">
        <f t="shared" si="46"/>
        <v>0</v>
      </c>
      <c r="BL56" s="24">
        <f t="shared" si="46"/>
        <v>0</v>
      </c>
      <c r="BM56" s="24">
        <f t="shared" si="46"/>
        <v>0</v>
      </c>
      <c r="BN56" s="24">
        <f t="shared" si="46"/>
        <v>0</v>
      </c>
      <c r="BO56" s="24">
        <f t="shared" si="46"/>
        <v>0</v>
      </c>
      <c r="BP56" s="24">
        <f t="shared" si="46"/>
        <v>0</v>
      </c>
      <c r="BQ56" s="24">
        <f t="shared" si="46"/>
        <v>0</v>
      </c>
      <c r="BR56" s="24">
        <f t="shared" si="46"/>
        <v>0</v>
      </c>
      <c r="BS56" s="24">
        <f t="shared" si="46"/>
        <v>0</v>
      </c>
      <c r="BT56" s="24">
        <f t="shared" si="46"/>
        <v>0</v>
      </c>
      <c r="BU56" s="24">
        <f t="shared" si="46"/>
        <v>0</v>
      </c>
      <c r="BV56" s="24">
        <f t="shared" si="46"/>
        <v>0</v>
      </c>
      <c r="BW56" s="24">
        <f t="shared" si="46"/>
        <v>0</v>
      </c>
      <c r="BX56" s="24">
        <f t="shared" si="47"/>
        <v>0</v>
      </c>
      <c r="BY56" s="24">
        <f t="shared" si="47"/>
        <v>0</v>
      </c>
      <c r="BZ56" s="24">
        <f t="shared" si="47"/>
        <v>0</v>
      </c>
      <c r="CA56" s="24">
        <f t="shared" si="47"/>
        <v>0</v>
      </c>
      <c r="CB56" s="24">
        <f t="shared" si="47"/>
        <v>0</v>
      </c>
      <c r="CC56" s="24">
        <f t="shared" si="47"/>
        <v>0</v>
      </c>
      <c r="CD56" s="24">
        <f t="shared" si="47"/>
        <v>0</v>
      </c>
      <c r="CE56" s="27">
        <f t="shared" si="48"/>
        <v>0.47513812154696133</v>
      </c>
      <c r="CF56" s="24">
        <f t="shared" si="49"/>
        <v>17200000</v>
      </c>
      <c r="CG56" s="24"/>
      <c r="CH56" s="24">
        <f>+[4]JULIO!$H$2782</f>
        <v>17200000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0.52486187845303867</v>
      </c>
      <c r="DE56" s="24">
        <f t="shared" si="50"/>
        <v>19000000</v>
      </c>
      <c r="DF56" s="24">
        <f t="shared" si="51"/>
        <v>0</v>
      </c>
      <c r="DG56" s="24">
        <f t="shared" si="51"/>
        <v>19000000</v>
      </c>
      <c r="DH56" s="24">
        <f t="shared" si="51"/>
        <v>0</v>
      </c>
      <c r="DI56" s="24">
        <f t="shared" si="51"/>
        <v>0</v>
      </c>
      <c r="DJ56" s="24">
        <f t="shared" si="51"/>
        <v>0</v>
      </c>
      <c r="DK56" s="24">
        <f t="shared" si="51"/>
        <v>0</v>
      </c>
      <c r="DL56" s="24">
        <f t="shared" si="51"/>
        <v>0</v>
      </c>
      <c r="DM56" s="24">
        <f t="shared" si="51"/>
        <v>0</v>
      </c>
      <c r="DN56" s="24">
        <f t="shared" si="51"/>
        <v>0</v>
      </c>
      <c r="DO56" s="24">
        <f t="shared" si="51"/>
        <v>0</v>
      </c>
      <c r="DP56" s="24">
        <f t="shared" si="51"/>
        <v>0</v>
      </c>
      <c r="DQ56" s="24">
        <f t="shared" si="51"/>
        <v>0</v>
      </c>
      <c r="DR56" s="24">
        <f t="shared" si="51"/>
        <v>0</v>
      </c>
      <c r="DS56" s="24">
        <f t="shared" si="51"/>
        <v>0</v>
      </c>
      <c r="DT56" s="24">
        <f t="shared" si="51"/>
        <v>0</v>
      </c>
      <c r="DU56" s="24">
        <f t="shared" si="51"/>
        <v>0</v>
      </c>
      <c r="DV56" s="24">
        <f t="shared" si="52"/>
        <v>0</v>
      </c>
      <c r="DW56" s="24">
        <f t="shared" si="52"/>
        <v>0</v>
      </c>
      <c r="DX56" s="24">
        <f t="shared" si="52"/>
        <v>0</v>
      </c>
      <c r="DY56" s="24">
        <f t="shared" si="52"/>
        <v>0</v>
      </c>
      <c r="DZ56" s="24">
        <f t="shared" si="52"/>
        <v>0</v>
      </c>
      <c r="EA56" s="24">
        <f t="shared" si="52"/>
        <v>0</v>
      </c>
      <c r="EB56" s="24">
        <f t="shared" si="52"/>
        <v>0</v>
      </c>
      <c r="ED56" s="31">
        <f t="shared" si="11"/>
        <v>36200000</v>
      </c>
      <c r="EE56" s="31">
        <f t="shared" si="15"/>
        <v>36200000</v>
      </c>
      <c r="EF56" s="31">
        <f t="shared" si="16"/>
        <v>36200000</v>
      </c>
    </row>
    <row r="57" spans="1:136" ht="33.6" customHeight="1" x14ac:dyDescent="0.25">
      <c r="A57" s="233"/>
      <c r="B57" s="231"/>
      <c r="C57" s="34" t="s">
        <v>187</v>
      </c>
      <c r="D57" s="21" t="s">
        <v>188</v>
      </c>
      <c r="E57" s="22">
        <v>520</v>
      </c>
      <c r="F57" s="23" t="s">
        <v>117</v>
      </c>
      <c r="G57" s="24">
        <f t="shared" si="43"/>
        <v>0</v>
      </c>
      <c r="H57" s="25">
        <f>+[13]SP!$F$21</f>
        <v>0</v>
      </c>
      <c r="I57" s="25">
        <f t="shared" si="53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7" t="e">
        <f t="shared" si="1"/>
        <v>#DIV/0!</v>
      </c>
      <c r="AH57" s="24">
        <f t="shared" si="44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 t="e">
        <f t="shared" si="13"/>
        <v>#DIV/0!</v>
      </c>
      <c r="BG57" s="24">
        <f t="shared" si="45"/>
        <v>0</v>
      </c>
      <c r="BH57" s="24">
        <f t="shared" si="46"/>
        <v>0</v>
      </c>
      <c r="BI57" s="24">
        <f t="shared" si="46"/>
        <v>0</v>
      </c>
      <c r="BJ57" s="24">
        <f t="shared" si="46"/>
        <v>0</v>
      </c>
      <c r="BK57" s="24">
        <f t="shared" si="46"/>
        <v>0</v>
      </c>
      <c r="BL57" s="24">
        <f t="shared" si="46"/>
        <v>0</v>
      </c>
      <c r="BM57" s="24">
        <f t="shared" si="46"/>
        <v>0</v>
      </c>
      <c r="BN57" s="24">
        <f t="shared" si="46"/>
        <v>0</v>
      </c>
      <c r="BO57" s="24">
        <f t="shared" si="46"/>
        <v>0</v>
      </c>
      <c r="BP57" s="24">
        <f t="shared" si="46"/>
        <v>0</v>
      </c>
      <c r="BQ57" s="24">
        <f t="shared" si="46"/>
        <v>0</v>
      </c>
      <c r="BR57" s="24">
        <f t="shared" si="46"/>
        <v>0</v>
      </c>
      <c r="BS57" s="24">
        <f t="shared" si="46"/>
        <v>0</v>
      </c>
      <c r="BT57" s="24">
        <f t="shared" si="46"/>
        <v>0</v>
      </c>
      <c r="BU57" s="24">
        <f t="shared" si="46"/>
        <v>0</v>
      </c>
      <c r="BV57" s="24">
        <f t="shared" si="46"/>
        <v>0</v>
      </c>
      <c r="BW57" s="24">
        <f t="shared" si="46"/>
        <v>0</v>
      </c>
      <c r="BX57" s="24">
        <f t="shared" si="47"/>
        <v>0</v>
      </c>
      <c r="BY57" s="24">
        <f t="shared" si="47"/>
        <v>0</v>
      </c>
      <c r="BZ57" s="24">
        <f t="shared" si="47"/>
        <v>0</v>
      </c>
      <c r="CA57" s="24">
        <f t="shared" si="47"/>
        <v>0</v>
      </c>
      <c r="CB57" s="24">
        <f t="shared" si="47"/>
        <v>0</v>
      </c>
      <c r="CC57" s="24">
        <f t="shared" si="47"/>
        <v>0</v>
      </c>
      <c r="CD57" s="24">
        <f t="shared" si="47"/>
        <v>0</v>
      </c>
      <c r="CE57" s="27" t="e">
        <f t="shared" si="48"/>
        <v>#DIV/0!</v>
      </c>
      <c r="CF57" s="24">
        <f t="shared" si="49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 t="e">
        <f t="shared" si="8"/>
        <v>#DIV/0!</v>
      </c>
      <c r="DE57" s="24">
        <f t="shared" si="50"/>
        <v>0</v>
      </c>
      <c r="DF57" s="24">
        <f t="shared" si="51"/>
        <v>0</v>
      </c>
      <c r="DG57" s="24">
        <f t="shared" si="51"/>
        <v>0</v>
      </c>
      <c r="DH57" s="24">
        <f t="shared" si="51"/>
        <v>0</v>
      </c>
      <c r="DI57" s="24">
        <f t="shared" si="51"/>
        <v>0</v>
      </c>
      <c r="DJ57" s="24">
        <f t="shared" si="51"/>
        <v>0</v>
      </c>
      <c r="DK57" s="24">
        <f t="shared" si="51"/>
        <v>0</v>
      </c>
      <c r="DL57" s="24">
        <f t="shared" si="51"/>
        <v>0</v>
      </c>
      <c r="DM57" s="24">
        <f t="shared" si="51"/>
        <v>0</v>
      </c>
      <c r="DN57" s="24">
        <f t="shared" si="51"/>
        <v>0</v>
      </c>
      <c r="DO57" s="24">
        <f t="shared" si="51"/>
        <v>0</v>
      </c>
      <c r="DP57" s="24">
        <f t="shared" si="51"/>
        <v>0</v>
      </c>
      <c r="DQ57" s="24">
        <f t="shared" si="51"/>
        <v>0</v>
      </c>
      <c r="DR57" s="24">
        <f t="shared" si="51"/>
        <v>0</v>
      </c>
      <c r="DS57" s="24">
        <f t="shared" si="51"/>
        <v>0</v>
      </c>
      <c r="DT57" s="24">
        <f t="shared" si="51"/>
        <v>0</v>
      </c>
      <c r="DU57" s="24">
        <f t="shared" si="51"/>
        <v>0</v>
      </c>
      <c r="DV57" s="24">
        <f t="shared" si="52"/>
        <v>0</v>
      </c>
      <c r="DW57" s="24">
        <f t="shared" si="52"/>
        <v>0</v>
      </c>
      <c r="DX57" s="24">
        <f t="shared" si="52"/>
        <v>0</v>
      </c>
      <c r="DY57" s="24">
        <f t="shared" si="52"/>
        <v>0</v>
      </c>
      <c r="DZ57" s="24">
        <f t="shared" si="52"/>
        <v>0</v>
      </c>
      <c r="EA57" s="24">
        <f t="shared" si="52"/>
        <v>0</v>
      </c>
      <c r="EB57" s="24">
        <f t="shared" si="52"/>
        <v>0</v>
      </c>
      <c r="ED57" s="31">
        <f t="shared" si="11"/>
        <v>0</v>
      </c>
      <c r="EE57" s="31">
        <f t="shared" si="15"/>
        <v>0</v>
      </c>
      <c r="EF57" s="31">
        <f t="shared" si="16"/>
        <v>0</v>
      </c>
    </row>
    <row r="58" spans="1:136" ht="35.450000000000003" customHeight="1" x14ac:dyDescent="0.25">
      <c r="A58" s="233"/>
      <c r="B58" s="231"/>
      <c r="C58" s="34" t="s">
        <v>189</v>
      </c>
      <c r="D58" s="21" t="s">
        <v>190</v>
      </c>
      <c r="E58" s="22">
        <v>520</v>
      </c>
      <c r="F58" s="23" t="s">
        <v>117</v>
      </c>
      <c r="G58" s="24">
        <f t="shared" si="43"/>
        <v>41409267</v>
      </c>
      <c r="H58" s="25">
        <f>+[13]SP!$F$22</f>
        <v>57321000</v>
      </c>
      <c r="I58" s="25">
        <f t="shared" si="53"/>
        <v>15911733</v>
      </c>
      <c r="J58" s="24"/>
      <c r="K58" s="24">
        <f>25000000+6214267</f>
        <v>31214267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10195000</f>
        <v>10195000</v>
      </c>
      <c r="AB58" s="24"/>
      <c r="AC58" s="24"/>
      <c r="AD58" s="24"/>
      <c r="AE58" s="24"/>
      <c r="AF58" s="24">
        <v>0</v>
      </c>
      <c r="AG58" s="27">
        <f t="shared" si="1"/>
        <v>0.99851076813313311</v>
      </c>
      <c r="AH58" s="24">
        <f t="shared" si="44"/>
        <v>41347599</v>
      </c>
      <c r="AI58" s="24"/>
      <c r="AJ58" s="24">
        <f>+[4]JULIO!$K$2811</f>
        <v>31152599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>
        <f>+[3]SEPTIEMBRE!$AA$3343</f>
        <v>10195000</v>
      </c>
      <c r="BA58" s="24"/>
      <c r="BB58" s="24"/>
      <c r="BC58" s="24"/>
      <c r="BD58" s="24"/>
      <c r="BE58" s="24"/>
      <c r="BF58" s="27">
        <f t="shared" si="13"/>
        <v>1.4892318668668914E-3</v>
      </c>
      <c r="BG58" s="24">
        <f t="shared" si="45"/>
        <v>61668</v>
      </c>
      <c r="BH58" s="24">
        <f t="shared" si="46"/>
        <v>0</v>
      </c>
      <c r="BI58" s="24">
        <f t="shared" si="46"/>
        <v>61668</v>
      </c>
      <c r="BJ58" s="24">
        <f t="shared" si="46"/>
        <v>0</v>
      </c>
      <c r="BK58" s="24">
        <f t="shared" si="46"/>
        <v>0</v>
      </c>
      <c r="BL58" s="24">
        <f t="shared" si="46"/>
        <v>0</v>
      </c>
      <c r="BM58" s="24">
        <f t="shared" si="46"/>
        <v>0</v>
      </c>
      <c r="BN58" s="24">
        <f t="shared" si="46"/>
        <v>0</v>
      </c>
      <c r="BO58" s="24">
        <f t="shared" si="46"/>
        <v>0</v>
      </c>
      <c r="BP58" s="24">
        <f t="shared" si="46"/>
        <v>0</v>
      </c>
      <c r="BQ58" s="24">
        <f t="shared" si="46"/>
        <v>0</v>
      </c>
      <c r="BR58" s="24">
        <f t="shared" si="46"/>
        <v>0</v>
      </c>
      <c r="BS58" s="24">
        <f t="shared" si="46"/>
        <v>0</v>
      </c>
      <c r="BT58" s="24">
        <f t="shared" si="46"/>
        <v>0</v>
      </c>
      <c r="BU58" s="24">
        <f t="shared" si="46"/>
        <v>0</v>
      </c>
      <c r="BV58" s="24">
        <f t="shared" si="46"/>
        <v>0</v>
      </c>
      <c r="BW58" s="24">
        <f t="shared" si="46"/>
        <v>0</v>
      </c>
      <c r="BX58" s="24">
        <f t="shared" si="47"/>
        <v>0</v>
      </c>
      <c r="BY58" s="24">
        <f t="shared" si="47"/>
        <v>0</v>
      </c>
      <c r="BZ58" s="24">
        <f t="shared" si="47"/>
        <v>0</v>
      </c>
      <c r="CA58" s="24">
        <f t="shared" si="47"/>
        <v>0</v>
      </c>
      <c r="CB58" s="24">
        <f t="shared" si="47"/>
        <v>0</v>
      </c>
      <c r="CC58" s="24">
        <f t="shared" si="47"/>
        <v>0</v>
      </c>
      <c r="CD58" s="24">
        <f t="shared" si="47"/>
        <v>0</v>
      </c>
      <c r="CE58" s="27">
        <f t="shared" si="48"/>
        <v>0.99851047834292739</v>
      </c>
      <c r="CF58" s="24">
        <f t="shared" si="49"/>
        <v>41347587</v>
      </c>
      <c r="CG58" s="24"/>
      <c r="CH58" s="24">
        <f>+[4]JULIO!$H$2809</f>
        <v>31152587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>
        <f>+[2]OCTUBRE!$H$3567+[2]OCTUBRE!$H$3570</f>
        <v>10195000</v>
      </c>
      <c r="CY58" s="24"/>
      <c r="CZ58" s="24"/>
      <c r="DA58" s="24"/>
      <c r="DB58" s="24"/>
      <c r="DC58" s="24"/>
      <c r="DD58" s="27">
        <f t="shared" si="8"/>
        <v>1.4895216570726122E-3</v>
      </c>
      <c r="DE58" s="24">
        <f t="shared" si="50"/>
        <v>61680</v>
      </c>
      <c r="DF58" s="24">
        <f t="shared" si="51"/>
        <v>0</v>
      </c>
      <c r="DG58" s="24">
        <f t="shared" si="51"/>
        <v>61680</v>
      </c>
      <c r="DH58" s="24">
        <f t="shared" si="51"/>
        <v>0</v>
      </c>
      <c r="DI58" s="24">
        <f t="shared" si="51"/>
        <v>0</v>
      </c>
      <c r="DJ58" s="24">
        <f t="shared" si="51"/>
        <v>0</v>
      </c>
      <c r="DK58" s="24">
        <f t="shared" si="51"/>
        <v>0</v>
      </c>
      <c r="DL58" s="24">
        <f t="shared" si="51"/>
        <v>0</v>
      </c>
      <c r="DM58" s="24">
        <f t="shared" si="51"/>
        <v>0</v>
      </c>
      <c r="DN58" s="24">
        <f t="shared" si="51"/>
        <v>0</v>
      </c>
      <c r="DO58" s="24">
        <f t="shared" si="51"/>
        <v>0</v>
      </c>
      <c r="DP58" s="24">
        <f t="shared" si="51"/>
        <v>0</v>
      </c>
      <c r="DQ58" s="24">
        <f t="shared" si="51"/>
        <v>0</v>
      </c>
      <c r="DR58" s="24">
        <f t="shared" si="51"/>
        <v>0</v>
      </c>
      <c r="DS58" s="24">
        <f t="shared" si="51"/>
        <v>0</v>
      </c>
      <c r="DT58" s="24">
        <f t="shared" si="51"/>
        <v>0</v>
      </c>
      <c r="DU58" s="24">
        <f t="shared" si="51"/>
        <v>0</v>
      </c>
      <c r="DV58" s="24">
        <f t="shared" si="52"/>
        <v>0</v>
      </c>
      <c r="DW58" s="24">
        <f t="shared" si="52"/>
        <v>0</v>
      </c>
      <c r="DX58" s="24">
        <f t="shared" si="52"/>
        <v>0</v>
      </c>
      <c r="DY58" s="24">
        <f t="shared" si="52"/>
        <v>0</v>
      </c>
      <c r="DZ58" s="24">
        <f t="shared" si="52"/>
        <v>0</v>
      </c>
      <c r="EA58" s="24">
        <f t="shared" si="52"/>
        <v>0</v>
      </c>
      <c r="EB58" s="24">
        <f t="shared" si="52"/>
        <v>0</v>
      </c>
      <c r="ED58" s="31">
        <f t="shared" si="11"/>
        <v>41409267</v>
      </c>
      <c r="EE58" s="31">
        <f t="shared" si="15"/>
        <v>41409267</v>
      </c>
      <c r="EF58" s="31">
        <f t="shared" si="16"/>
        <v>41409267</v>
      </c>
    </row>
    <row r="59" spans="1:136" ht="31.9" customHeight="1" x14ac:dyDescent="0.25">
      <c r="A59" s="233"/>
      <c r="B59" s="231"/>
      <c r="C59" s="34" t="s">
        <v>191</v>
      </c>
      <c r="D59" s="21" t="s">
        <v>192</v>
      </c>
      <c r="E59" s="22">
        <v>520</v>
      </c>
      <c r="F59" s="23" t="s">
        <v>117</v>
      </c>
      <c r="G59" s="24">
        <f t="shared" si="43"/>
        <v>21120267</v>
      </c>
      <c r="H59" s="25">
        <f>+[13]SP!$F$23</f>
        <v>36144000</v>
      </c>
      <c r="I59" s="25">
        <f t="shared" si="53"/>
        <v>15023733</v>
      </c>
      <c r="J59" s="24"/>
      <c r="K59" s="24">
        <f>10000000+6214267</f>
        <v>16214267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4906000</f>
        <v>4906000</v>
      </c>
      <c r="AB59" s="24"/>
      <c r="AC59" s="24"/>
      <c r="AD59" s="24"/>
      <c r="AE59" s="24"/>
      <c r="AF59" s="24">
        <v>0</v>
      </c>
      <c r="AG59" s="27">
        <f t="shared" si="1"/>
        <v>1</v>
      </c>
      <c r="AH59" s="24">
        <f t="shared" si="44"/>
        <v>21120267</v>
      </c>
      <c r="AI59" s="24"/>
      <c r="AJ59" s="24">
        <f>+[4]JULIO!$K$2829</f>
        <v>16214267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>
        <f>+[3]SEPTIEMBRE!$AA$3365</f>
        <v>4906000</v>
      </c>
      <c r="BA59" s="24"/>
      <c r="BB59" s="24"/>
      <c r="BC59" s="24"/>
      <c r="BD59" s="24"/>
      <c r="BE59" s="24"/>
      <c r="BF59" s="27">
        <f t="shared" si="13"/>
        <v>0</v>
      </c>
      <c r="BG59" s="24">
        <f t="shared" si="45"/>
        <v>0</v>
      </c>
      <c r="BH59" s="24">
        <f t="shared" si="46"/>
        <v>0</v>
      </c>
      <c r="BI59" s="24">
        <f t="shared" si="46"/>
        <v>0</v>
      </c>
      <c r="BJ59" s="24">
        <f t="shared" si="46"/>
        <v>0</v>
      </c>
      <c r="BK59" s="24">
        <f t="shared" si="46"/>
        <v>0</v>
      </c>
      <c r="BL59" s="24">
        <f t="shared" si="46"/>
        <v>0</v>
      </c>
      <c r="BM59" s="24">
        <f t="shared" si="46"/>
        <v>0</v>
      </c>
      <c r="BN59" s="24">
        <f t="shared" si="46"/>
        <v>0</v>
      </c>
      <c r="BO59" s="24">
        <f t="shared" si="46"/>
        <v>0</v>
      </c>
      <c r="BP59" s="24">
        <f t="shared" si="46"/>
        <v>0</v>
      </c>
      <c r="BQ59" s="24">
        <f t="shared" si="46"/>
        <v>0</v>
      </c>
      <c r="BR59" s="24">
        <f t="shared" si="46"/>
        <v>0</v>
      </c>
      <c r="BS59" s="24">
        <f t="shared" si="46"/>
        <v>0</v>
      </c>
      <c r="BT59" s="24">
        <f t="shared" si="46"/>
        <v>0</v>
      </c>
      <c r="BU59" s="24">
        <f t="shared" si="46"/>
        <v>0</v>
      </c>
      <c r="BV59" s="24">
        <f t="shared" si="46"/>
        <v>0</v>
      </c>
      <c r="BW59" s="24">
        <f t="shared" si="46"/>
        <v>0</v>
      </c>
      <c r="BX59" s="24">
        <f t="shared" si="47"/>
        <v>0</v>
      </c>
      <c r="BY59" s="24">
        <f t="shared" si="47"/>
        <v>0</v>
      </c>
      <c r="BZ59" s="24">
        <f t="shared" si="47"/>
        <v>0</v>
      </c>
      <c r="CA59" s="24">
        <f t="shared" si="47"/>
        <v>0</v>
      </c>
      <c r="CB59" s="24">
        <f t="shared" si="47"/>
        <v>0</v>
      </c>
      <c r="CC59" s="24">
        <f t="shared" si="47"/>
        <v>0</v>
      </c>
      <c r="CD59" s="24">
        <f t="shared" si="47"/>
        <v>0</v>
      </c>
      <c r="CE59" s="27">
        <f t="shared" si="48"/>
        <v>0.99999995265211372</v>
      </c>
      <c r="CF59" s="24">
        <f t="shared" si="49"/>
        <v>21120266</v>
      </c>
      <c r="CG59" s="24"/>
      <c r="CH59" s="24">
        <f>+[4]JULIO!$H$2827</f>
        <v>16214266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>
        <f>+[2]OCTUBRE!$H$3582</f>
        <v>4906000</v>
      </c>
      <c r="CY59" s="24"/>
      <c r="CZ59" s="24"/>
      <c r="DA59" s="24"/>
      <c r="DB59" s="24"/>
      <c r="DC59" s="24"/>
      <c r="DD59" s="27">
        <f t="shared" si="8"/>
        <v>4.7347886278359397E-8</v>
      </c>
      <c r="DE59" s="24">
        <f t="shared" si="50"/>
        <v>1</v>
      </c>
      <c r="DF59" s="24">
        <f t="shared" si="51"/>
        <v>0</v>
      </c>
      <c r="DG59" s="24">
        <f t="shared" si="51"/>
        <v>1</v>
      </c>
      <c r="DH59" s="24">
        <f t="shared" si="51"/>
        <v>0</v>
      </c>
      <c r="DI59" s="24">
        <f t="shared" si="51"/>
        <v>0</v>
      </c>
      <c r="DJ59" s="24">
        <f t="shared" si="51"/>
        <v>0</v>
      </c>
      <c r="DK59" s="24">
        <f t="shared" si="51"/>
        <v>0</v>
      </c>
      <c r="DL59" s="24">
        <f t="shared" si="51"/>
        <v>0</v>
      </c>
      <c r="DM59" s="24">
        <f t="shared" si="51"/>
        <v>0</v>
      </c>
      <c r="DN59" s="24">
        <f t="shared" si="51"/>
        <v>0</v>
      </c>
      <c r="DO59" s="24">
        <f t="shared" si="51"/>
        <v>0</v>
      </c>
      <c r="DP59" s="24">
        <f t="shared" si="51"/>
        <v>0</v>
      </c>
      <c r="DQ59" s="24">
        <f t="shared" si="51"/>
        <v>0</v>
      </c>
      <c r="DR59" s="24">
        <f t="shared" si="51"/>
        <v>0</v>
      </c>
      <c r="DS59" s="24">
        <f t="shared" si="51"/>
        <v>0</v>
      </c>
      <c r="DT59" s="24">
        <f t="shared" si="51"/>
        <v>0</v>
      </c>
      <c r="DU59" s="24">
        <f t="shared" si="51"/>
        <v>0</v>
      </c>
      <c r="DV59" s="24">
        <f t="shared" si="52"/>
        <v>0</v>
      </c>
      <c r="DW59" s="24">
        <f t="shared" si="52"/>
        <v>0</v>
      </c>
      <c r="DX59" s="24">
        <f t="shared" si="52"/>
        <v>0</v>
      </c>
      <c r="DY59" s="24">
        <f t="shared" si="52"/>
        <v>0</v>
      </c>
      <c r="DZ59" s="24">
        <f t="shared" si="52"/>
        <v>0</v>
      </c>
      <c r="EA59" s="24">
        <f t="shared" si="52"/>
        <v>0</v>
      </c>
      <c r="EB59" s="24">
        <f t="shared" si="52"/>
        <v>0</v>
      </c>
      <c r="ED59" s="31">
        <f t="shared" si="11"/>
        <v>21120267</v>
      </c>
      <c r="EE59" s="31">
        <f t="shared" si="15"/>
        <v>21120267</v>
      </c>
      <c r="EF59" s="31">
        <f t="shared" si="16"/>
        <v>21120267</v>
      </c>
    </row>
    <row r="60" spans="1:136" ht="19.899999999999999" customHeight="1" x14ac:dyDescent="0.25">
      <c r="A60" s="233"/>
      <c r="B60" s="231"/>
      <c r="C60" s="34" t="s">
        <v>193</v>
      </c>
      <c r="D60" s="21" t="s">
        <v>194</v>
      </c>
      <c r="E60" s="22">
        <v>520</v>
      </c>
      <c r="F60" s="23" t="s">
        <v>117</v>
      </c>
      <c r="G60" s="24">
        <f t="shared" si="43"/>
        <v>49070000</v>
      </c>
      <c r="H60" s="25">
        <f>+[13]SP!$F$24</f>
        <v>85000000</v>
      </c>
      <c r="I60" s="25">
        <f t="shared" si="53"/>
        <v>35930000</v>
      </c>
      <c r="J60" s="24"/>
      <c r="K60" s="24">
        <f>54000000-4930000</f>
        <v>49070000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7">
        <f t="shared" si="1"/>
        <v>0.99999989810474832</v>
      </c>
      <c r="AH60" s="24">
        <f t="shared" si="44"/>
        <v>49069995</v>
      </c>
      <c r="AI60" s="24"/>
      <c r="AJ60" s="24">
        <f>+[2]OCTUBRE!$K$3587</f>
        <v>49069995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3"/>
        <v>1.018952516806948E-7</v>
      </c>
      <c r="BG60" s="24">
        <f t="shared" si="45"/>
        <v>5</v>
      </c>
      <c r="BH60" s="24">
        <f t="shared" si="46"/>
        <v>0</v>
      </c>
      <c r="BI60" s="24">
        <f t="shared" si="46"/>
        <v>5</v>
      </c>
      <c r="BJ60" s="24">
        <f t="shared" si="46"/>
        <v>0</v>
      </c>
      <c r="BK60" s="24">
        <f t="shared" si="46"/>
        <v>0</v>
      </c>
      <c r="BL60" s="24">
        <f t="shared" si="46"/>
        <v>0</v>
      </c>
      <c r="BM60" s="24">
        <f t="shared" si="46"/>
        <v>0</v>
      </c>
      <c r="BN60" s="24">
        <f t="shared" si="46"/>
        <v>0</v>
      </c>
      <c r="BO60" s="24">
        <f t="shared" si="46"/>
        <v>0</v>
      </c>
      <c r="BP60" s="24">
        <f t="shared" si="46"/>
        <v>0</v>
      </c>
      <c r="BQ60" s="24">
        <f t="shared" si="46"/>
        <v>0</v>
      </c>
      <c r="BR60" s="24">
        <f t="shared" si="46"/>
        <v>0</v>
      </c>
      <c r="BS60" s="24">
        <f t="shared" si="46"/>
        <v>0</v>
      </c>
      <c r="BT60" s="24">
        <f t="shared" si="46"/>
        <v>0</v>
      </c>
      <c r="BU60" s="24">
        <f t="shared" si="46"/>
        <v>0</v>
      </c>
      <c r="BV60" s="24">
        <f t="shared" si="46"/>
        <v>0</v>
      </c>
      <c r="BW60" s="24">
        <f t="shared" si="46"/>
        <v>0</v>
      </c>
      <c r="BX60" s="24">
        <f t="shared" si="47"/>
        <v>0</v>
      </c>
      <c r="BY60" s="24">
        <f t="shared" si="47"/>
        <v>0</v>
      </c>
      <c r="BZ60" s="24">
        <f t="shared" si="47"/>
        <v>0</v>
      </c>
      <c r="CA60" s="24">
        <f t="shared" si="47"/>
        <v>0</v>
      </c>
      <c r="CB60" s="24">
        <f t="shared" si="47"/>
        <v>0</v>
      </c>
      <c r="CC60" s="24">
        <f t="shared" si="47"/>
        <v>0</v>
      </c>
      <c r="CD60" s="24">
        <f t="shared" si="47"/>
        <v>0</v>
      </c>
      <c r="CE60" s="27">
        <f t="shared" si="48"/>
        <v>0.83696747503566338</v>
      </c>
      <c r="CF60" s="24">
        <f t="shared" si="49"/>
        <v>41069994</v>
      </c>
      <c r="CG60" s="24"/>
      <c r="CH60" s="24">
        <f>+[8]AGOSTO!$H$3009</f>
        <v>41069994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0.16303252496433662</v>
      </c>
      <c r="DE60" s="24">
        <f t="shared" si="50"/>
        <v>8000006</v>
      </c>
      <c r="DF60" s="24">
        <f t="shared" si="51"/>
        <v>0</v>
      </c>
      <c r="DG60" s="24">
        <f t="shared" si="51"/>
        <v>8000006</v>
      </c>
      <c r="DH60" s="24">
        <f t="shared" si="51"/>
        <v>0</v>
      </c>
      <c r="DI60" s="24">
        <f t="shared" si="51"/>
        <v>0</v>
      </c>
      <c r="DJ60" s="24">
        <f t="shared" si="51"/>
        <v>0</v>
      </c>
      <c r="DK60" s="24">
        <f t="shared" si="51"/>
        <v>0</v>
      </c>
      <c r="DL60" s="24">
        <f t="shared" si="51"/>
        <v>0</v>
      </c>
      <c r="DM60" s="24">
        <f t="shared" si="51"/>
        <v>0</v>
      </c>
      <c r="DN60" s="24">
        <f t="shared" si="51"/>
        <v>0</v>
      </c>
      <c r="DO60" s="24">
        <f t="shared" si="51"/>
        <v>0</v>
      </c>
      <c r="DP60" s="24">
        <f t="shared" si="51"/>
        <v>0</v>
      </c>
      <c r="DQ60" s="24">
        <f t="shared" si="51"/>
        <v>0</v>
      </c>
      <c r="DR60" s="24">
        <f t="shared" si="51"/>
        <v>0</v>
      </c>
      <c r="DS60" s="24">
        <f t="shared" si="51"/>
        <v>0</v>
      </c>
      <c r="DT60" s="24">
        <f t="shared" si="51"/>
        <v>0</v>
      </c>
      <c r="DU60" s="24">
        <f t="shared" si="51"/>
        <v>0</v>
      </c>
      <c r="DV60" s="24">
        <f t="shared" si="52"/>
        <v>0</v>
      </c>
      <c r="DW60" s="24">
        <f t="shared" si="52"/>
        <v>0</v>
      </c>
      <c r="DX60" s="24">
        <f t="shared" si="52"/>
        <v>0</v>
      </c>
      <c r="DY60" s="24">
        <f t="shared" si="52"/>
        <v>0</v>
      </c>
      <c r="DZ60" s="24">
        <f t="shared" si="52"/>
        <v>0</v>
      </c>
      <c r="EA60" s="24">
        <f t="shared" si="52"/>
        <v>0</v>
      </c>
      <c r="EB60" s="24">
        <f t="shared" si="52"/>
        <v>0</v>
      </c>
      <c r="ED60" s="31">
        <f t="shared" si="11"/>
        <v>49070000</v>
      </c>
      <c r="EE60" s="31">
        <f t="shared" si="15"/>
        <v>49070000</v>
      </c>
      <c r="EF60" s="31">
        <f t="shared" si="16"/>
        <v>49070000</v>
      </c>
    </row>
    <row r="61" spans="1:136" ht="16.899999999999999" customHeight="1" x14ac:dyDescent="0.25">
      <c r="A61" s="233"/>
      <c r="B61" s="231"/>
      <c r="C61" s="34" t="s">
        <v>195</v>
      </c>
      <c r="D61" s="21" t="s">
        <v>196</v>
      </c>
      <c r="E61" s="22">
        <v>520</v>
      </c>
      <c r="F61" s="23" t="s">
        <v>117</v>
      </c>
      <c r="G61" s="24">
        <f t="shared" si="43"/>
        <v>52570750</v>
      </c>
      <c r="H61" s="25">
        <f>+[13]SP!$F$29</f>
        <v>168000000</v>
      </c>
      <c r="I61" s="25">
        <f t="shared" si="53"/>
        <v>115429250</v>
      </c>
      <c r="J61" s="24"/>
      <c r="K61" s="24">
        <f>64000000+16407500-27836750</f>
        <v>52570750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7">
        <f t="shared" si="1"/>
        <v>0.78636884579352584</v>
      </c>
      <c r="AH61" s="24">
        <f t="shared" si="44"/>
        <v>41340000</v>
      </c>
      <c r="AI61" s="24"/>
      <c r="AJ61" s="24">
        <f>+[4]JULIO!$K$2859</f>
        <v>41340000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3"/>
        <v>0.21363115420647416</v>
      </c>
      <c r="BG61" s="24">
        <f t="shared" si="45"/>
        <v>11230750</v>
      </c>
      <c r="BH61" s="24">
        <f t="shared" si="46"/>
        <v>0</v>
      </c>
      <c r="BI61" s="24">
        <f t="shared" si="46"/>
        <v>11230750</v>
      </c>
      <c r="BJ61" s="24">
        <f t="shared" si="46"/>
        <v>0</v>
      </c>
      <c r="BK61" s="24">
        <f t="shared" si="46"/>
        <v>0</v>
      </c>
      <c r="BL61" s="24">
        <f t="shared" si="46"/>
        <v>0</v>
      </c>
      <c r="BM61" s="24">
        <f t="shared" si="46"/>
        <v>0</v>
      </c>
      <c r="BN61" s="24">
        <f t="shared" si="46"/>
        <v>0</v>
      </c>
      <c r="BO61" s="24">
        <f t="shared" si="46"/>
        <v>0</v>
      </c>
      <c r="BP61" s="24">
        <f t="shared" si="46"/>
        <v>0</v>
      </c>
      <c r="BQ61" s="24">
        <f t="shared" si="46"/>
        <v>0</v>
      </c>
      <c r="BR61" s="24">
        <f t="shared" si="46"/>
        <v>0</v>
      </c>
      <c r="BS61" s="24">
        <f t="shared" si="46"/>
        <v>0</v>
      </c>
      <c r="BT61" s="24">
        <f t="shared" si="46"/>
        <v>0</v>
      </c>
      <c r="BU61" s="24">
        <f t="shared" si="46"/>
        <v>0</v>
      </c>
      <c r="BV61" s="24">
        <f t="shared" si="46"/>
        <v>0</v>
      </c>
      <c r="BW61" s="24">
        <f t="shared" si="46"/>
        <v>0</v>
      </c>
      <c r="BX61" s="24">
        <f t="shared" si="47"/>
        <v>0</v>
      </c>
      <c r="BY61" s="24">
        <f t="shared" si="47"/>
        <v>0</v>
      </c>
      <c r="BZ61" s="24">
        <f t="shared" si="47"/>
        <v>0</v>
      </c>
      <c r="CA61" s="24">
        <f t="shared" si="47"/>
        <v>0</v>
      </c>
      <c r="CB61" s="24">
        <f t="shared" si="47"/>
        <v>0</v>
      </c>
      <c r="CC61" s="24">
        <f t="shared" si="47"/>
        <v>0</v>
      </c>
      <c r="CD61" s="24">
        <f t="shared" si="47"/>
        <v>0</v>
      </c>
      <c r="CE61" s="27">
        <f t="shared" si="48"/>
        <v>0.63172009149574626</v>
      </c>
      <c r="CF61" s="24">
        <f t="shared" si="49"/>
        <v>33209999</v>
      </c>
      <c r="CG61" s="24"/>
      <c r="CH61" s="24">
        <f>+[4]JULIO!$H$2857</f>
        <v>33209999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0.36827990850425374</v>
      </c>
      <c r="DE61" s="24">
        <f t="shared" si="50"/>
        <v>19360751</v>
      </c>
      <c r="DF61" s="24">
        <f t="shared" si="51"/>
        <v>0</v>
      </c>
      <c r="DG61" s="24">
        <f t="shared" si="51"/>
        <v>19360751</v>
      </c>
      <c r="DH61" s="24">
        <f t="shared" si="51"/>
        <v>0</v>
      </c>
      <c r="DI61" s="24">
        <f t="shared" si="51"/>
        <v>0</v>
      </c>
      <c r="DJ61" s="24">
        <f t="shared" si="51"/>
        <v>0</v>
      </c>
      <c r="DK61" s="24">
        <f t="shared" si="51"/>
        <v>0</v>
      </c>
      <c r="DL61" s="24">
        <f t="shared" si="51"/>
        <v>0</v>
      </c>
      <c r="DM61" s="24">
        <f t="shared" si="51"/>
        <v>0</v>
      </c>
      <c r="DN61" s="24">
        <f t="shared" si="51"/>
        <v>0</v>
      </c>
      <c r="DO61" s="24">
        <f t="shared" si="51"/>
        <v>0</v>
      </c>
      <c r="DP61" s="24">
        <f t="shared" si="51"/>
        <v>0</v>
      </c>
      <c r="DQ61" s="24">
        <f t="shared" si="51"/>
        <v>0</v>
      </c>
      <c r="DR61" s="24">
        <f t="shared" si="51"/>
        <v>0</v>
      </c>
      <c r="DS61" s="24">
        <f t="shared" si="51"/>
        <v>0</v>
      </c>
      <c r="DT61" s="24">
        <f t="shared" si="51"/>
        <v>0</v>
      </c>
      <c r="DU61" s="24">
        <f t="shared" si="51"/>
        <v>0</v>
      </c>
      <c r="DV61" s="24">
        <f t="shared" si="52"/>
        <v>0</v>
      </c>
      <c r="DW61" s="24">
        <f t="shared" si="52"/>
        <v>0</v>
      </c>
      <c r="DX61" s="24">
        <f t="shared" si="52"/>
        <v>0</v>
      </c>
      <c r="DY61" s="24">
        <f t="shared" si="52"/>
        <v>0</v>
      </c>
      <c r="DZ61" s="24">
        <f t="shared" si="52"/>
        <v>0</v>
      </c>
      <c r="EA61" s="24">
        <f t="shared" si="52"/>
        <v>0</v>
      </c>
      <c r="EB61" s="24">
        <f t="shared" si="52"/>
        <v>0</v>
      </c>
      <c r="ED61" s="31">
        <f t="shared" si="11"/>
        <v>52570750</v>
      </c>
      <c r="EE61" s="31">
        <f t="shared" si="15"/>
        <v>52570750</v>
      </c>
      <c r="EF61" s="31">
        <f t="shared" si="16"/>
        <v>52570750</v>
      </c>
    </row>
    <row r="62" spans="1:136" ht="19.149999999999999" customHeight="1" x14ac:dyDescent="0.25">
      <c r="A62" s="233"/>
      <c r="B62" s="229"/>
      <c r="C62" s="34" t="s">
        <v>197</v>
      </c>
      <c r="D62" s="21" t="s">
        <v>198</v>
      </c>
      <c r="E62" s="22">
        <v>520</v>
      </c>
      <c r="F62" s="23" t="s">
        <v>117</v>
      </c>
      <c r="G62" s="24">
        <f t="shared" si="43"/>
        <v>40000000</v>
      </c>
      <c r="H62" s="25">
        <f>+[13]SP!$F$31</f>
        <v>76000000</v>
      </c>
      <c r="I62" s="25">
        <f t="shared" si="53"/>
        <v>36000000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v>10000000</v>
      </c>
      <c r="AB62" s="24"/>
      <c r="AC62" s="24"/>
      <c r="AD62" s="24"/>
      <c r="AE62" s="24"/>
      <c r="AF62" s="24">
        <v>0</v>
      </c>
      <c r="AG62" s="27">
        <f t="shared" si="1"/>
        <v>1</v>
      </c>
      <c r="AH62" s="24">
        <f t="shared" si="44"/>
        <v>40000000</v>
      </c>
      <c r="AI62" s="24"/>
      <c r="AJ62" s="24">
        <f>+'[9]ENERO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f>+[3]SEPTIEMBRE!$AA$3418</f>
        <v>10000000</v>
      </c>
      <c r="BA62" s="24"/>
      <c r="BB62" s="24"/>
      <c r="BC62" s="24"/>
      <c r="BD62" s="24"/>
      <c r="BE62" s="24"/>
      <c r="BF62" s="27">
        <f t="shared" si="13"/>
        <v>0</v>
      </c>
      <c r="BG62" s="24">
        <f t="shared" si="45"/>
        <v>0</v>
      </c>
      <c r="BH62" s="24">
        <f t="shared" si="46"/>
        <v>0</v>
      </c>
      <c r="BI62" s="24">
        <f t="shared" si="46"/>
        <v>0</v>
      </c>
      <c r="BJ62" s="24">
        <f t="shared" si="46"/>
        <v>0</v>
      </c>
      <c r="BK62" s="24">
        <f t="shared" si="46"/>
        <v>0</v>
      </c>
      <c r="BL62" s="24">
        <f t="shared" si="46"/>
        <v>0</v>
      </c>
      <c r="BM62" s="24">
        <f t="shared" si="46"/>
        <v>0</v>
      </c>
      <c r="BN62" s="24">
        <f t="shared" si="46"/>
        <v>0</v>
      </c>
      <c r="BO62" s="24">
        <f t="shared" si="46"/>
        <v>0</v>
      </c>
      <c r="BP62" s="24">
        <f t="shared" si="46"/>
        <v>0</v>
      </c>
      <c r="BQ62" s="24">
        <f t="shared" si="46"/>
        <v>0</v>
      </c>
      <c r="BR62" s="24">
        <f t="shared" si="46"/>
        <v>0</v>
      </c>
      <c r="BS62" s="24">
        <f t="shared" si="46"/>
        <v>0</v>
      </c>
      <c r="BT62" s="24">
        <f t="shared" si="46"/>
        <v>0</v>
      </c>
      <c r="BU62" s="24">
        <f t="shared" si="46"/>
        <v>0</v>
      </c>
      <c r="BV62" s="24">
        <f t="shared" si="46"/>
        <v>0</v>
      </c>
      <c r="BW62" s="24">
        <f t="shared" si="46"/>
        <v>0</v>
      </c>
      <c r="BX62" s="24">
        <f t="shared" si="47"/>
        <v>0</v>
      </c>
      <c r="BY62" s="24">
        <f t="shared" si="47"/>
        <v>0</v>
      </c>
      <c r="BZ62" s="24">
        <f t="shared" si="47"/>
        <v>0</v>
      </c>
      <c r="CA62" s="24">
        <f t="shared" si="47"/>
        <v>0</v>
      </c>
      <c r="CB62" s="24">
        <f t="shared" si="47"/>
        <v>0</v>
      </c>
      <c r="CC62" s="24">
        <f t="shared" si="47"/>
        <v>0</v>
      </c>
      <c r="CD62" s="24">
        <f t="shared" si="47"/>
        <v>0</v>
      </c>
      <c r="CE62" s="27">
        <f t="shared" si="48"/>
        <v>0.92716662500000002</v>
      </c>
      <c r="CF62" s="24">
        <f t="shared" si="49"/>
        <v>37086665</v>
      </c>
      <c r="CG62" s="24"/>
      <c r="CH62" s="24">
        <f>+[4]JULIO!$H$2875</f>
        <v>27086665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f>+[2]OCTUBRE!$H$3654</f>
        <v>10000000</v>
      </c>
      <c r="CY62" s="24"/>
      <c r="CZ62" s="24"/>
      <c r="DA62" s="24"/>
      <c r="DB62" s="24"/>
      <c r="DC62" s="24"/>
      <c r="DD62" s="27">
        <f t="shared" si="8"/>
        <v>7.2833374999999978E-2</v>
      </c>
      <c r="DE62" s="24">
        <f t="shared" si="50"/>
        <v>2913335</v>
      </c>
      <c r="DF62" s="24">
        <f t="shared" si="51"/>
        <v>0</v>
      </c>
      <c r="DG62" s="24">
        <f t="shared" si="51"/>
        <v>2913335</v>
      </c>
      <c r="DH62" s="24">
        <f t="shared" si="51"/>
        <v>0</v>
      </c>
      <c r="DI62" s="24">
        <f t="shared" si="51"/>
        <v>0</v>
      </c>
      <c r="DJ62" s="24">
        <f t="shared" si="51"/>
        <v>0</v>
      </c>
      <c r="DK62" s="24">
        <f t="shared" si="51"/>
        <v>0</v>
      </c>
      <c r="DL62" s="24">
        <f t="shared" si="51"/>
        <v>0</v>
      </c>
      <c r="DM62" s="24">
        <f t="shared" si="51"/>
        <v>0</v>
      </c>
      <c r="DN62" s="24">
        <f t="shared" si="51"/>
        <v>0</v>
      </c>
      <c r="DO62" s="24">
        <f t="shared" si="51"/>
        <v>0</v>
      </c>
      <c r="DP62" s="24">
        <f t="shared" si="51"/>
        <v>0</v>
      </c>
      <c r="DQ62" s="24">
        <f t="shared" si="51"/>
        <v>0</v>
      </c>
      <c r="DR62" s="24">
        <f t="shared" si="51"/>
        <v>0</v>
      </c>
      <c r="DS62" s="24">
        <f t="shared" si="51"/>
        <v>0</v>
      </c>
      <c r="DT62" s="24">
        <f t="shared" si="51"/>
        <v>0</v>
      </c>
      <c r="DU62" s="24">
        <f t="shared" si="51"/>
        <v>0</v>
      </c>
      <c r="DV62" s="24">
        <f t="shared" si="52"/>
        <v>0</v>
      </c>
      <c r="DW62" s="24">
        <f t="shared" si="52"/>
        <v>0</v>
      </c>
      <c r="DX62" s="24">
        <f t="shared" si="52"/>
        <v>0</v>
      </c>
      <c r="DY62" s="24">
        <f t="shared" si="52"/>
        <v>0</v>
      </c>
      <c r="DZ62" s="24">
        <f t="shared" si="52"/>
        <v>0</v>
      </c>
      <c r="EA62" s="24">
        <f t="shared" si="52"/>
        <v>0</v>
      </c>
      <c r="EB62" s="24">
        <f t="shared" si="52"/>
        <v>0</v>
      </c>
      <c r="ED62" s="31">
        <f t="shared" si="11"/>
        <v>40000000</v>
      </c>
      <c r="EE62" s="31">
        <f t="shared" si="15"/>
        <v>40000000</v>
      </c>
      <c r="EF62" s="31">
        <f t="shared" si="16"/>
        <v>40000000</v>
      </c>
    </row>
    <row r="63" spans="1:136" ht="72" customHeight="1" x14ac:dyDescent="0.25">
      <c r="A63" s="233"/>
      <c r="B63" s="228" t="s">
        <v>199</v>
      </c>
      <c r="C63" s="34" t="s">
        <v>200</v>
      </c>
      <c r="D63" s="21" t="s">
        <v>201</v>
      </c>
      <c r="E63" s="22">
        <v>520</v>
      </c>
      <c r="F63" s="23" t="s">
        <v>202</v>
      </c>
      <c r="G63" s="24">
        <f t="shared" si="43"/>
        <v>1050691994</v>
      </c>
      <c r="H63" s="25">
        <f>+[13]SP!$F$40+[13]SP!$F$41+[13]SP!$F$42</f>
        <v>1250000000</v>
      </c>
      <c r="I63" s="25">
        <f t="shared" si="53"/>
        <v>199308006</v>
      </c>
      <c r="J63" s="47"/>
      <c r="K63" s="24">
        <f>50000000+25885908</f>
        <v>75885908</v>
      </c>
      <c r="L63" s="24"/>
      <c r="M63" s="24"/>
      <c r="N63" s="47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v>105041496</v>
      </c>
      <c r="AB63" s="24">
        <f>240938503+43019134</f>
        <v>283957637</v>
      </c>
      <c r="AC63" s="24"/>
      <c r="AD63" s="24"/>
      <c r="AE63" s="24"/>
      <c r="AF63" s="26">
        <f>318303570+140000000-24000000+20000000+73603383+6900000+40000000+18000000-7000000</f>
        <v>585806953</v>
      </c>
      <c r="AG63" s="27">
        <f t="shared" si="1"/>
        <v>0.94409915623664686</v>
      </c>
      <c r="AH63" s="24">
        <f t="shared" si="44"/>
        <v>991957425</v>
      </c>
      <c r="AI63" s="24"/>
      <c r="AJ63" s="24">
        <f>+[8]AGOSTO!$K$3107</f>
        <v>75885908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f>+[2]OCTUBRE!$AA$3686</f>
        <v>78117019</v>
      </c>
      <c r="BA63" s="24">
        <f>+[2]OCTUBRE!$AB$3686</f>
        <v>277047545</v>
      </c>
      <c r="BB63" s="24"/>
      <c r="BC63" s="24"/>
      <c r="BD63" s="24"/>
      <c r="BE63" s="24">
        <f>+[2]OCTUBRE!$AG$3686</f>
        <v>560906953</v>
      </c>
      <c r="BF63" s="27">
        <f t="shared" si="13"/>
        <v>5.5900843763353136E-2</v>
      </c>
      <c r="BG63" s="24">
        <f t="shared" si="45"/>
        <v>58734569</v>
      </c>
      <c r="BH63" s="24">
        <f t="shared" si="46"/>
        <v>0</v>
      </c>
      <c r="BI63" s="24">
        <f t="shared" si="46"/>
        <v>0</v>
      </c>
      <c r="BJ63" s="24">
        <f t="shared" si="46"/>
        <v>0</v>
      </c>
      <c r="BK63" s="24">
        <f t="shared" si="46"/>
        <v>0</v>
      </c>
      <c r="BL63" s="24">
        <f t="shared" si="46"/>
        <v>0</v>
      </c>
      <c r="BM63" s="24">
        <f t="shared" si="46"/>
        <v>0</v>
      </c>
      <c r="BN63" s="24">
        <f t="shared" si="46"/>
        <v>0</v>
      </c>
      <c r="BO63" s="24">
        <f t="shared" si="46"/>
        <v>0</v>
      </c>
      <c r="BP63" s="24">
        <f t="shared" si="46"/>
        <v>0</v>
      </c>
      <c r="BQ63" s="24">
        <f t="shared" si="46"/>
        <v>0</v>
      </c>
      <c r="BR63" s="24">
        <f t="shared" si="46"/>
        <v>0</v>
      </c>
      <c r="BS63" s="24">
        <f t="shared" si="46"/>
        <v>0</v>
      </c>
      <c r="BT63" s="24">
        <f t="shared" si="46"/>
        <v>0</v>
      </c>
      <c r="BU63" s="24">
        <f t="shared" si="46"/>
        <v>0</v>
      </c>
      <c r="BV63" s="24">
        <f t="shared" si="46"/>
        <v>0</v>
      </c>
      <c r="BW63" s="24">
        <f t="shared" si="46"/>
        <v>0</v>
      </c>
      <c r="BX63" s="24">
        <f t="shared" si="47"/>
        <v>0</v>
      </c>
      <c r="BY63" s="24">
        <f t="shared" si="47"/>
        <v>26924477</v>
      </c>
      <c r="BZ63" s="24">
        <f t="shared" si="47"/>
        <v>6910092</v>
      </c>
      <c r="CA63" s="24">
        <f t="shared" si="47"/>
        <v>0</v>
      </c>
      <c r="CB63" s="24">
        <f t="shared" si="47"/>
        <v>0</v>
      </c>
      <c r="CC63" s="24">
        <f t="shared" si="47"/>
        <v>0</v>
      </c>
      <c r="CD63" s="24">
        <f t="shared" si="47"/>
        <v>24900000</v>
      </c>
      <c r="CE63" s="27">
        <f t="shared" si="48"/>
        <v>0.75153234488241472</v>
      </c>
      <c r="CF63" s="24">
        <f t="shared" si="49"/>
        <v>789629018</v>
      </c>
      <c r="CG63" s="24"/>
      <c r="CH63" s="24">
        <f>+[2]OCTUBRE!$H$3737+[2]OCTUBRE!$H$3741+[2]OCTUBRE!$H$3745+[2]OCTUBRE!$H$3750+[2]OCTUBRE!$H$3755+[2]OCTUBRE!$G$4077</f>
        <v>75885902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f>+[2]OCTUBRE!$H$4131+[2]OCTUBRE!$H$4133+[2]OCTUBRE!$H$4135+[2]OCTUBRE!$H$4137+[2]OCTUBRE!$H$4139+[2]OCTUBRE!$H$4141+[2]OCTUBRE!$H$4143+[2]OCTUBRE!$H$4145+[2]OCTUBRE!$H$4173</f>
        <v>64100000</v>
      </c>
      <c r="CY63" s="24">
        <f>+[2]OCTUBRE!$H$3815+[2]OCTUBRE!$H$3819+[2]OCTUBRE!$H$3824+[2]OCTUBRE!$H$3830+[2]OCTUBRE!$H$3835+[2]OCTUBRE!$H$3846+[2]OCTUBRE!$H$3861+[2]OCTUBRE!$H$3870+[2]OCTUBRE!$H$3888+[2]OCTUBRE!$H$3891+[2]OCTUBRE!$H$3902+[2]OCTUBRE!$H$3907+[2]OCTUBRE!$H$3915+[2]OCTUBRE!$H$3926+[2]OCTUBRE!$H$3935+[2]OCTUBRE!$H$3955+[2]OCTUBRE!$H$3959+[2]OCTUBRE!$H$3963+[2]OCTUBRE!$H$3966+[2]OCTUBRE!$H$3969+[2]OCTUBRE!$H$3972+[2]OCTUBRE!$H$3975+[2]OCTUBRE!$H$3984+[2]OCTUBRE!$H$3993+[2]OCTUBRE!$H$3998+[2]OCTUBRE!$H$4004+[2]OCTUBRE!$H$4008+[2]OCTUBRE!$H$4032+[2]OCTUBRE!$H$4039+[2]OCTUBRE!$H$4042+[2]OCTUBRE!$H$4046+[2]OCTUBRE!$H$4063+[2]OCTUBRE!$H$4068+[2]OCTUBRE!$H$4072+[2]OCTUBRE!$H$4093+[2]OCTUBRE!$H$4110+[2]OCTUBRE!$H$4119+[2]OCTUBRE!$H$4124+[2]OCTUBRE!$H$4159+[2]OCTUBRE!$H$4162+[2]OCTUBRE!$H$4165+[2]OCTUBRE!$H$4168+[2]OCTUBRE!$H$4176+[2]OCTUBRE!$H$4178+[2]OCTUBRE!$H$4195-2285907</f>
        <v>171636319</v>
      </c>
      <c r="CZ63" s="24"/>
      <c r="DA63" s="24"/>
      <c r="DB63" s="24"/>
      <c r="DC63" s="24">
        <f>+[2]OCTUBRE!$H$3687+[2]OCTUBRE!$H$3708+[2]OCTUBRE!$H$3722+[2]OCTUBRE!$H$3758+[2]OCTUBRE!$H$3784+[2]OCTUBRE!$H$4015+[2]OCTUBRE!$H$4025+[2]OCTUBRE!$H$4181</f>
        <v>478006797</v>
      </c>
      <c r="DD63" s="27">
        <f t="shared" si="8"/>
        <v>0.24846765511758528</v>
      </c>
      <c r="DE63" s="24">
        <f t="shared" si="50"/>
        <v>261062976</v>
      </c>
      <c r="DF63" s="24">
        <f t="shared" si="51"/>
        <v>0</v>
      </c>
      <c r="DG63" s="24">
        <f t="shared" si="51"/>
        <v>6</v>
      </c>
      <c r="DH63" s="24">
        <f t="shared" si="51"/>
        <v>0</v>
      </c>
      <c r="DI63" s="24">
        <f t="shared" si="51"/>
        <v>0</v>
      </c>
      <c r="DJ63" s="24">
        <f t="shared" si="51"/>
        <v>0</v>
      </c>
      <c r="DK63" s="24">
        <f t="shared" si="51"/>
        <v>0</v>
      </c>
      <c r="DL63" s="24">
        <f t="shared" si="51"/>
        <v>0</v>
      </c>
      <c r="DM63" s="24">
        <f t="shared" si="51"/>
        <v>0</v>
      </c>
      <c r="DN63" s="24">
        <f t="shared" si="51"/>
        <v>0</v>
      </c>
      <c r="DO63" s="24">
        <f t="shared" si="51"/>
        <v>0</v>
      </c>
      <c r="DP63" s="24">
        <f t="shared" si="51"/>
        <v>0</v>
      </c>
      <c r="DQ63" s="24">
        <f t="shared" si="51"/>
        <v>0</v>
      </c>
      <c r="DR63" s="24">
        <f t="shared" si="51"/>
        <v>0</v>
      </c>
      <c r="DS63" s="24">
        <f t="shared" si="51"/>
        <v>0</v>
      </c>
      <c r="DT63" s="24">
        <f t="shared" si="51"/>
        <v>0</v>
      </c>
      <c r="DU63" s="24">
        <f t="shared" si="51"/>
        <v>0</v>
      </c>
      <c r="DV63" s="24">
        <f t="shared" si="52"/>
        <v>0</v>
      </c>
      <c r="DW63" s="24">
        <f t="shared" si="52"/>
        <v>40941496</v>
      </c>
      <c r="DX63" s="24">
        <f t="shared" si="52"/>
        <v>112321318</v>
      </c>
      <c r="DY63" s="24">
        <f t="shared" si="52"/>
        <v>0</v>
      </c>
      <c r="DZ63" s="24">
        <f t="shared" si="52"/>
        <v>0</v>
      </c>
      <c r="EA63" s="24">
        <f t="shared" si="52"/>
        <v>0</v>
      </c>
      <c r="EB63" s="24">
        <f t="shared" si="52"/>
        <v>107800156</v>
      </c>
      <c r="ED63" s="31">
        <f t="shared" si="11"/>
        <v>1050691994</v>
      </c>
      <c r="EE63" s="31">
        <f t="shared" si="15"/>
        <v>1050691994</v>
      </c>
      <c r="EF63" s="31">
        <f t="shared" si="16"/>
        <v>1050691994</v>
      </c>
    </row>
    <row r="64" spans="1:136" ht="21" customHeight="1" x14ac:dyDescent="0.25">
      <c r="A64" s="233"/>
      <c r="B64" s="231"/>
      <c r="C64" s="34" t="s">
        <v>203</v>
      </c>
      <c r="D64" s="21" t="s">
        <v>204</v>
      </c>
      <c r="E64" s="22">
        <v>520</v>
      </c>
      <c r="F64" s="23" t="s">
        <v>117</v>
      </c>
      <c r="G64" s="24">
        <f t="shared" si="43"/>
        <v>0</v>
      </c>
      <c r="H64" s="63">
        <f>+[13]SP!$F$43+[13]SP!$F$45+[13]SP!$F$47</f>
        <v>888000000</v>
      </c>
      <c r="I64" s="25">
        <f t="shared" si="53"/>
        <v>888000000</v>
      </c>
      <c r="J64" s="49"/>
      <c r="K64" s="24"/>
      <c r="L64" s="47"/>
      <c r="M64" s="47"/>
      <c r="N64" s="47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6">
        <v>0</v>
      </c>
      <c r="AG64" s="27" t="e">
        <f t="shared" si="1"/>
        <v>#DIV/0!</v>
      </c>
      <c r="AH64" s="24">
        <f t="shared" si="44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7" t="e">
        <f t="shared" si="13"/>
        <v>#DIV/0!</v>
      </c>
      <c r="BG64" s="24">
        <f t="shared" si="45"/>
        <v>0</v>
      </c>
      <c r="BH64" s="24">
        <f t="shared" si="46"/>
        <v>0</v>
      </c>
      <c r="BI64" s="24">
        <f t="shared" si="46"/>
        <v>0</v>
      </c>
      <c r="BJ64" s="24">
        <f t="shared" si="46"/>
        <v>0</v>
      </c>
      <c r="BK64" s="24">
        <f t="shared" si="46"/>
        <v>0</v>
      </c>
      <c r="BL64" s="24">
        <f t="shared" si="46"/>
        <v>0</v>
      </c>
      <c r="BM64" s="24">
        <f t="shared" si="46"/>
        <v>0</v>
      </c>
      <c r="BN64" s="24">
        <f t="shared" si="46"/>
        <v>0</v>
      </c>
      <c r="BO64" s="24">
        <f t="shared" si="46"/>
        <v>0</v>
      </c>
      <c r="BP64" s="24">
        <f t="shared" si="46"/>
        <v>0</v>
      </c>
      <c r="BQ64" s="24">
        <f t="shared" si="46"/>
        <v>0</v>
      </c>
      <c r="BR64" s="24">
        <f t="shared" si="46"/>
        <v>0</v>
      </c>
      <c r="BS64" s="24">
        <f t="shared" si="46"/>
        <v>0</v>
      </c>
      <c r="BT64" s="24">
        <f t="shared" si="46"/>
        <v>0</v>
      </c>
      <c r="BU64" s="24">
        <f t="shared" si="46"/>
        <v>0</v>
      </c>
      <c r="BV64" s="24">
        <f t="shared" si="46"/>
        <v>0</v>
      </c>
      <c r="BW64" s="24">
        <f t="shared" si="46"/>
        <v>0</v>
      </c>
      <c r="BX64" s="24">
        <f t="shared" si="47"/>
        <v>0</v>
      </c>
      <c r="BY64" s="24">
        <f t="shared" si="47"/>
        <v>0</v>
      </c>
      <c r="BZ64" s="24">
        <f t="shared" si="47"/>
        <v>0</v>
      </c>
      <c r="CA64" s="24">
        <f t="shared" si="47"/>
        <v>0</v>
      </c>
      <c r="CB64" s="24">
        <f t="shared" si="47"/>
        <v>0</v>
      </c>
      <c r="CC64" s="24">
        <f t="shared" si="47"/>
        <v>0</v>
      </c>
      <c r="CD64" s="24">
        <f t="shared" si="47"/>
        <v>0</v>
      </c>
      <c r="CE64" s="27" t="e">
        <f t="shared" si="48"/>
        <v>#DIV/0!</v>
      </c>
      <c r="CF64" s="24">
        <f t="shared" si="49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7" t="e">
        <f t="shared" si="8"/>
        <v>#DIV/0!</v>
      </c>
      <c r="DE64" s="24">
        <f t="shared" si="50"/>
        <v>0</v>
      </c>
      <c r="DF64" s="24">
        <f t="shared" si="51"/>
        <v>0</v>
      </c>
      <c r="DG64" s="24">
        <f t="shared" si="51"/>
        <v>0</v>
      </c>
      <c r="DH64" s="24">
        <f t="shared" si="51"/>
        <v>0</v>
      </c>
      <c r="DI64" s="24">
        <f t="shared" si="51"/>
        <v>0</v>
      </c>
      <c r="DJ64" s="24">
        <f t="shared" si="51"/>
        <v>0</v>
      </c>
      <c r="DK64" s="24">
        <f t="shared" si="51"/>
        <v>0</v>
      </c>
      <c r="DL64" s="24">
        <f t="shared" si="51"/>
        <v>0</v>
      </c>
      <c r="DM64" s="24">
        <f t="shared" si="51"/>
        <v>0</v>
      </c>
      <c r="DN64" s="24">
        <f t="shared" si="51"/>
        <v>0</v>
      </c>
      <c r="DO64" s="24">
        <f t="shared" si="51"/>
        <v>0</v>
      </c>
      <c r="DP64" s="24">
        <f t="shared" si="51"/>
        <v>0</v>
      </c>
      <c r="DQ64" s="24">
        <f t="shared" si="51"/>
        <v>0</v>
      </c>
      <c r="DR64" s="24">
        <f t="shared" si="51"/>
        <v>0</v>
      </c>
      <c r="DS64" s="24">
        <f t="shared" si="51"/>
        <v>0</v>
      </c>
      <c r="DT64" s="24">
        <f t="shared" si="51"/>
        <v>0</v>
      </c>
      <c r="DU64" s="24">
        <f t="shared" si="51"/>
        <v>0</v>
      </c>
      <c r="DV64" s="24">
        <f t="shared" si="52"/>
        <v>0</v>
      </c>
      <c r="DW64" s="24">
        <f t="shared" si="52"/>
        <v>0</v>
      </c>
      <c r="DX64" s="24">
        <f t="shared" si="52"/>
        <v>0</v>
      </c>
      <c r="DY64" s="24">
        <f t="shared" si="52"/>
        <v>0</v>
      </c>
      <c r="DZ64" s="24">
        <f t="shared" si="52"/>
        <v>0</v>
      </c>
      <c r="EA64" s="24">
        <f t="shared" si="52"/>
        <v>0</v>
      </c>
      <c r="EB64" s="24">
        <f t="shared" si="52"/>
        <v>0</v>
      </c>
      <c r="ED64" s="31">
        <f t="shared" si="11"/>
        <v>0</v>
      </c>
      <c r="EE64" s="31">
        <f t="shared" si="15"/>
        <v>0</v>
      </c>
      <c r="EF64" s="31">
        <f t="shared" si="16"/>
        <v>0</v>
      </c>
    </row>
    <row r="65" spans="1:136" ht="24" customHeight="1" x14ac:dyDescent="0.25">
      <c r="A65" s="233"/>
      <c r="B65" s="231"/>
      <c r="C65" s="34" t="s">
        <v>205</v>
      </c>
      <c r="D65" s="21" t="s">
        <v>206</v>
      </c>
      <c r="E65" s="22">
        <v>520</v>
      </c>
      <c r="F65" s="23" t="s">
        <v>207</v>
      </c>
      <c r="G65" s="24">
        <f t="shared" si="43"/>
        <v>80000000</v>
      </c>
      <c r="H65" s="25">
        <f>+[13]SP!$F$49</f>
        <v>420000000</v>
      </c>
      <c r="I65" s="25">
        <f t="shared" si="53"/>
        <v>340000000</v>
      </c>
      <c r="J65" s="47"/>
      <c r="K65" s="24">
        <f>25885908-25885908</f>
        <v>0</v>
      </c>
      <c r="L65" s="47"/>
      <c r="M65" s="47"/>
      <c r="N65" s="47"/>
      <c r="O65" s="47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6">
        <f>69000000+5000000-10000000+9000000+7000000</f>
        <v>80000000</v>
      </c>
      <c r="AG65" s="27">
        <f t="shared" si="1"/>
        <v>1</v>
      </c>
      <c r="AH65" s="24">
        <f t="shared" si="44"/>
        <v>80000000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+[2]OCTUBRE!$AG$4231</f>
        <v>80000000</v>
      </c>
      <c r="BF65" s="27">
        <f t="shared" si="13"/>
        <v>0</v>
      </c>
      <c r="BG65" s="24">
        <f t="shared" si="45"/>
        <v>0</v>
      </c>
      <c r="BH65" s="24">
        <f t="shared" si="46"/>
        <v>0</v>
      </c>
      <c r="BI65" s="24">
        <f t="shared" si="46"/>
        <v>0</v>
      </c>
      <c r="BJ65" s="24">
        <f t="shared" si="46"/>
        <v>0</v>
      </c>
      <c r="BK65" s="24">
        <f t="shared" si="46"/>
        <v>0</v>
      </c>
      <c r="BL65" s="24">
        <f t="shared" si="46"/>
        <v>0</v>
      </c>
      <c r="BM65" s="24">
        <f t="shared" si="46"/>
        <v>0</v>
      </c>
      <c r="BN65" s="24">
        <f t="shared" si="46"/>
        <v>0</v>
      </c>
      <c r="BO65" s="24">
        <f t="shared" si="46"/>
        <v>0</v>
      </c>
      <c r="BP65" s="24">
        <f t="shared" si="46"/>
        <v>0</v>
      </c>
      <c r="BQ65" s="24">
        <f t="shared" si="46"/>
        <v>0</v>
      </c>
      <c r="BR65" s="24">
        <f t="shared" si="46"/>
        <v>0</v>
      </c>
      <c r="BS65" s="24">
        <f t="shared" si="46"/>
        <v>0</v>
      </c>
      <c r="BT65" s="24">
        <f t="shared" si="46"/>
        <v>0</v>
      </c>
      <c r="BU65" s="24">
        <f t="shared" si="46"/>
        <v>0</v>
      </c>
      <c r="BV65" s="24">
        <f t="shared" si="46"/>
        <v>0</v>
      </c>
      <c r="BW65" s="24">
        <f t="shared" si="46"/>
        <v>0</v>
      </c>
      <c r="BX65" s="24">
        <f t="shared" si="47"/>
        <v>0</v>
      </c>
      <c r="BY65" s="24">
        <f t="shared" si="47"/>
        <v>0</v>
      </c>
      <c r="BZ65" s="24">
        <f t="shared" si="47"/>
        <v>0</v>
      </c>
      <c r="CA65" s="24">
        <f t="shared" si="47"/>
        <v>0</v>
      </c>
      <c r="CB65" s="24">
        <f t="shared" si="47"/>
        <v>0</v>
      </c>
      <c r="CC65" s="24">
        <f t="shared" si="47"/>
        <v>0</v>
      </c>
      <c r="CD65" s="24">
        <f t="shared" si="47"/>
        <v>0</v>
      </c>
      <c r="CE65" s="27">
        <f t="shared" si="48"/>
        <v>0.67431718750000003</v>
      </c>
      <c r="CF65" s="24">
        <f t="shared" si="49"/>
        <v>53945375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+[3]SEPTIEMBRE!$H$3956</f>
        <v>53945375</v>
      </c>
      <c r="DD65" s="27">
        <f t="shared" si="8"/>
        <v>0.32568281249999997</v>
      </c>
      <c r="DE65" s="24">
        <f t="shared" si="50"/>
        <v>26054625</v>
      </c>
      <c r="DF65" s="24">
        <f t="shared" si="51"/>
        <v>0</v>
      </c>
      <c r="DG65" s="24">
        <f t="shared" si="51"/>
        <v>0</v>
      </c>
      <c r="DH65" s="24">
        <f t="shared" si="51"/>
        <v>0</v>
      </c>
      <c r="DI65" s="24">
        <f t="shared" si="51"/>
        <v>0</v>
      </c>
      <c r="DJ65" s="24">
        <f t="shared" si="51"/>
        <v>0</v>
      </c>
      <c r="DK65" s="24">
        <f t="shared" si="51"/>
        <v>0</v>
      </c>
      <c r="DL65" s="24">
        <f t="shared" si="51"/>
        <v>0</v>
      </c>
      <c r="DM65" s="24">
        <f t="shared" si="51"/>
        <v>0</v>
      </c>
      <c r="DN65" s="24">
        <f t="shared" si="51"/>
        <v>0</v>
      </c>
      <c r="DO65" s="24">
        <f t="shared" si="51"/>
        <v>0</v>
      </c>
      <c r="DP65" s="24">
        <f t="shared" si="51"/>
        <v>0</v>
      </c>
      <c r="DQ65" s="24">
        <f t="shared" si="51"/>
        <v>0</v>
      </c>
      <c r="DR65" s="24">
        <f t="shared" si="51"/>
        <v>0</v>
      </c>
      <c r="DS65" s="24">
        <f t="shared" si="51"/>
        <v>0</v>
      </c>
      <c r="DT65" s="24">
        <f t="shared" si="51"/>
        <v>0</v>
      </c>
      <c r="DU65" s="24">
        <f t="shared" si="51"/>
        <v>0</v>
      </c>
      <c r="DV65" s="24">
        <f t="shared" si="52"/>
        <v>0</v>
      </c>
      <c r="DW65" s="24">
        <f t="shared" si="52"/>
        <v>0</v>
      </c>
      <c r="DX65" s="24">
        <f t="shared" si="52"/>
        <v>0</v>
      </c>
      <c r="DY65" s="24">
        <f t="shared" si="52"/>
        <v>0</v>
      </c>
      <c r="DZ65" s="24">
        <f t="shared" si="52"/>
        <v>0</v>
      </c>
      <c r="EA65" s="24">
        <f t="shared" si="52"/>
        <v>0</v>
      </c>
      <c r="EB65" s="24">
        <f t="shared" si="52"/>
        <v>26054625</v>
      </c>
      <c r="ED65" s="31">
        <f t="shared" si="11"/>
        <v>80000000</v>
      </c>
      <c r="EE65" s="31">
        <f t="shared" si="15"/>
        <v>80000000</v>
      </c>
      <c r="EF65" s="31">
        <f t="shared" si="16"/>
        <v>80000000</v>
      </c>
    </row>
    <row r="66" spans="1:136" ht="21" customHeight="1" x14ac:dyDescent="0.25">
      <c r="A66" s="233"/>
      <c r="B66" s="231"/>
      <c r="C66" s="34" t="s">
        <v>208</v>
      </c>
      <c r="D66" s="21" t="s">
        <v>209</v>
      </c>
      <c r="E66" s="22">
        <v>520</v>
      </c>
      <c r="F66" s="23" t="s">
        <v>117</v>
      </c>
      <c r="G66" s="24">
        <f t="shared" si="43"/>
        <v>1500000000</v>
      </c>
      <c r="H66" s="25">
        <f>+[13]SP!$F$51</f>
        <v>1530000000</v>
      </c>
      <c r="I66" s="25">
        <f t="shared" si="53"/>
        <v>30000000</v>
      </c>
      <c r="J66" s="47"/>
      <c r="K66" s="24"/>
      <c r="L66" s="47"/>
      <c r="M66" s="47"/>
      <c r="N66" s="47"/>
      <c r="O66" s="47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7">
        <f t="shared" si="1"/>
        <v>0.27000961933333334</v>
      </c>
      <c r="AH66" s="24">
        <f t="shared" si="44"/>
        <v>405014429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+[3]SEPTIEMBRE!$Y$3988</f>
        <v>405014429</v>
      </c>
      <c r="AY66" s="24"/>
      <c r="AZ66" s="24"/>
      <c r="BA66" s="24"/>
      <c r="BB66" s="24"/>
      <c r="BC66" s="24"/>
      <c r="BD66" s="24"/>
      <c r="BE66" s="24"/>
      <c r="BF66" s="27">
        <f t="shared" si="13"/>
        <v>0.72999038066666666</v>
      </c>
      <c r="BG66" s="24">
        <f t="shared" si="45"/>
        <v>1094985571</v>
      </c>
      <c r="BH66" s="24">
        <f t="shared" si="46"/>
        <v>0</v>
      </c>
      <c r="BI66" s="24">
        <f t="shared" si="46"/>
        <v>0</v>
      </c>
      <c r="BJ66" s="24">
        <f t="shared" si="46"/>
        <v>0</v>
      </c>
      <c r="BK66" s="24">
        <f t="shared" si="46"/>
        <v>0</v>
      </c>
      <c r="BL66" s="24">
        <f t="shared" si="46"/>
        <v>0</v>
      </c>
      <c r="BM66" s="24">
        <f t="shared" si="46"/>
        <v>0</v>
      </c>
      <c r="BN66" s="24">
        <f t="shared" si="46"/>
        <v>0</v>
      </c>
      <c r="BO66" s="24">
        <f t="shared" si="46"/>
        <v>0</v>
      </c>
      <c r="BP66" s="24">
        <f t="shared" si="46"/>
        <v>0</v>
      </c>
      <c r="BQ66" s="24">
        <f t="shared" si="46"/>
        <v>0</v>
      </c>
      <c r="BR66" s="24">
        <f t="shared" si="46"/>
        <v>0</v>
      </c>
      <c r="BS66" s="24">
        <f t="shared" si="46"/>
        <v>0</v>
      </c>
      <c r="BT66" s="24">
        <f t="shared" si="46"/>
        <v>0</v>
      </c>
      <c r="BU66" s="24">
        <f t="shared" si="46"/>
        <v>0</v>
      </c>
      <c r="BV66" s="24">
        <f t="shared" si="46"/>
        <v>0</v>
      </c>
      <c r="BW66" s="24">
        <f t="shared" ref="BW66:BW76" si="54">+Y66-AX66</f>
        <v>1094985571</v>
      </c>
      <c r="BX66" s="24">
        <f t="shared" si="47"/>
        <v>0</v>
      </c>
      <c r="BY66" s="24">
        <f t="shared" si="47"/>
        <v>0</v>
      </c>
      <c r="BZ66" s="24">
        <f t="shared" si="47"/>
        <v>0</v>
      </c>
      <c r="CA66" s="24">
        <f t="shared" si="47"/>
        <v>0</v>
      </c>
      <c r="CB66" s="24">
        <f t="shared" si="47"/>
        <v>0</v>
      </c>
      <c r="CC66" s="24">
        <f t="shared" si="47"/>
        <v>0</v>
      </c>
      <c r="CD66" s="24">
        <f t="shared" si="47"/>
        <v>0</v>
      </c>
      <c r="CE66" s="27">
        <f t="shared" si="48"/>
        <v>0.12221584066666667</v>
      </c>
      <c r="CF66" s="24">
        <f t="shared" si="49"/>
        <v>183323761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+[2]OCTUBRE!$H$4259</f>
        <v>183323761</v>
      </c>
      <c r="CW66" s="24"/>
      <c r="CX66" s="24"/>
      <c r="CY66" s="24"/>
      <c r="CZ66" s="24"/>
      <c r="DA66" s="24"/>
      <c r="DB66" s="24"/>
      <c r="DC66" s="24"/>
      <c r="DD66" s="27">
        <f t="shared" si="8"/>
        <v>0.87778415933333331</v>
      </c>
      <c r="DE66" s="24">
        <f t="shared" si="50"/>
        <v>1316676239</v>
      </c>
      <c r="DF66" s="24">
        <f t="shared" si="51"/>
        <v>0</v>
      </c>
      <c r="DG66" s="24">
        <f t="shared" si="51"/>
        <v>0</v>
      </c>
      <c r="DH66" s="24">
        <f t="shared" si="51"/>
        <v>0</v>
      </c>
      <c r="DI66" s="24">
        <f t="shared" si="51"/>
        <v>0</v>
      </c>
      <c r="DJ66" s="24">
        <f t="shared" si="51"/>
        <v>0</v>
      </c>
      <c r="DK66" s="24">
        <f t="shared" si="51"/>
        <v>0</v>
      </c>
      <c r="DL66" s="24">
        <f t="shared" si="51"/>
        <v>0</v>
      </c>
      <c r="DM66" s="24">
        <f t="shared" si="51"/>
        <v>0</v>
      </c>
      <c r="DN66" s="24">
        <f t="shared" si="51"/>
        <v>0</v>
      </c>
      <c r="DO66" s="24">
        <f t="shared" si="51"/>
        <v>0</v>
      </c>
      <c r="DP66" s="24">
        <f t="shared" si="51"/>
        <v>0</v>
      </c>
      <c r="DQ66" s="24">
        <f t="shared" si="51"/>
        <v>0</v>
      </c>
      <c r="DR66" s="24">
        <f t="shared" si="51"/>
        <v>0</v>
      </c>
      <c r="DS66" s="24">
        <f t="shared" si="51"/>
        <v>0</v>
      </c>
      <c r="DT66" s="24">
        <f t="shared" si="51"/>
        <v>0</v>
      </c>
      <c r="DU66" s="24">
        <f t="shared" ref="DU66:DU76" si="55">+Y66-CV66</f>
        <v>1316676239</v>
      </c>
      <c r="DV66" s="24">
        <f t="shared" si="52"/>
        <v>0</v>
      </c>
      <c r="DW66" s="24">
        <f t="shared" si="52"/>
        <v>0</v>
      </c>
      <c r="DX66" s="24">
        <f t="shared" si="52"/>
        <v>0</v>
      </c>
      <c r="DY66" s="24">
        <f t="shared" si="52"/>
        <v>0</v>
      </c>
      <c r="DZ66" s="24">
        <f t="shared" si="52"/>
        <v>0</v>
      </c>
      <c r="EA66" s="24">
        <f t="shared" si="52"/>
        <v>0</v>
      </c>
      <c r="EB66" s="24">
        <f t="shared" si="52"/>
        <v>0</v>
      </c>
      <c r="ED66" s="31">
        <f t="shared" si="11"/>
        <v>1500000000</v>
      </c>
      <c r="EE66" s="31">
        <f t="shared" si="15"/>
        <v>1500000000</v>
      </c>
      <c r="EF66" s="31">
        <f t="shared" si="16"/>
        <v>1500000000</v>
      </c>
    </row>
    <row r="67" spans="1:136" ht="30.75" customHeight="1" x14ac:dyDescent="0.25">
      <c r="A67" s="233"/>
      <c r="B67" s="229"/>
      <c r="C67" s="34" t="s">
        <v>210</v>
      </c>
      <c r="D67" s="21" t="s">
        <v>211</v>
      </c>
      <c r="E67" s="22">
        <v>520</v>
      </c>
      <c r="F67" s="23" t="s">
        <v>212</v>
      </c>
      <c r="G67" s="24">
        <f t="shared" si="43"/>
        <v>127820092</v>
      </c>
      <c r="H67" s="25">
        <f>+[13]SP!$F$53</f>
        <v>200000000</v>
      </c>
      <c r="I67" s="25">
        <f t="shared" si="53"/>
        <v>72179908</v>
      </c>
      <c r="J67" s="47"/>
      <c r="K67" s="24">
        <v>50000000</v>
      </c>
      <c r="L67" s="24"/>
      <c r="M67" s="24"/>
      <c r="N67" s="47"/>
      <c r="O67" s="47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f>50000000+19820092</f>
        <v>69820092</v>
      </c>
      <c r="AB67" s="24"/>
      <c r="AC67" s="24"/>
      <c r="AD67" s="24"/>
      <c r="AE67" s="24"/>
      <c r="AF67" s="24">
        <f>3000000+5000000</f>
        <v>8000000</v>
      </c>
      <c r="AG67" s="27">
        <f t="shared" si="1"/>
        <v>0.93741203065320899</v>
      </c>
      <c r="AH67" s="24">
        <f t="shared" si="44"/>
        <v>119820092</v>
      </c>
      <c r="AI67" s="24"/>
      <c r="AJ67" s="24">
        <f>+'[6]MARZO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+[2]OCTUBRE!$AA$4295</f>
        <v>69820092</v>
      </c>
      <c r="BA67" s="24"/>
      <c r="BB67" s="24"/>
      <c r="BC67" s="24"/>
      <c r="BD67" s="24"/>
      <c r="BE67" s="24"/>
      <c r="BF67" s="27">
        <f t="shared" si="13"/>
        <v>6.2587969346791006E-2</v>
      </c>
      <c r="BG67" s="24">
        <f t="shared" si="45"/>
        <v>8000000</v>
      </c>
      <c r="BH67" s="24">
        <f t="shared" ref="BH67:BV76" si="56">+J67-AI67</f>
        <v>0</v>
      </c>
      <c r="BI67" s="24">
        <f t="shared" si="56"/>
        <v>0</v>
      </c>
      <c r="BJ67" s="24">
        <f t="shared" si="56"/>
        <v>0</v>
      </c>
      <c r="BK67" s="24">
        <f t="shared" si="56"/>
        <v>0</v>
      </c>
      <c r="BL67" s="24">
        <f t="shared" si="56"/>
        <v>0</v>
      </c>
      <c r="BM67" s="24">
        <f t="shared" si="56"/>
        <v>0</v>
      </c>
      <c r="BN67" s="24">
        <f t="shared" si="56"/>
        <v>0</v>
      </c>
      <c r="BO67" s="24">
        <f t="shared" si="56"/>
        <v>0</v>
      </c>
      <c r="BP67" s="24">
        <f t="shared" si="56"/>
        <v>0</v>
      </c>
      <c r="BQ67" s="24">
        <f t="shared" si="56"/>
        <v>0</v>
      </c>
      <c r="BR67" s="24">
        <f t="shared" si="56"/>
        <v>0</v>
      </c>
      <c r="BS67" s="24">
        <f t="shared" si="56"/>
        <v>0</v>
      </c>
      <c r="BT67" s="24">
        <f t="shared" si="56"/>
        <v>0</v>
      </c>
      <c r="BU67" s="24">
        <f t="shared" si="56"/>
        <v>0</v>
      </c>
      <c r="BV67" s="24">
        <f t="shared" si="56"/>
        <v>0</v>
      </c>
      <c r="BW67" s="24">
        <f t="shared" si="54"/>
        <v>0</v>
      </c>
      <c r="BX67" s="24">
        <f t="shared" si="47"/>
        <v>0</v>
      </c>
      <c r="BY67" s="24">
        <f t="shared" si="47"/>
        <v>0</v>
      </c>
      <c r="BZ67" s="24">
        <f t="shared" si="47"/>
        <v>0</v>
      </c>
      <c r="CA67" s="24">
        <f t="shared" si="47"/>
        <v>0</v>
      </c>
      <c r="CB67" s="24">
        <f t="shared" si="47"/>
        <v>0</v>
      </c>
      <c r="CC67" s="24">
        <f t="shared" si="47"/>
        <v>0</v>
      </c>
      <c r="CD67" s="24">
        <f t="shared" si="47"/>
        <v>8000000</v>
      </c>
      <c r="CE67" s="27">
        <f t="shared" si="48"/>
        <v>0.58407970008345789</v>
      </c>
      <c r="CF67" s="24">
        <f t="shared" si="49"/>
        <v>74657121</v>
      </c>
      <c r="CG67" s="24"/>
      <c r="CH67" s="24">
        <f>+'[11]ABRIL 2020'!$H$4492+'[11]ABRIL 2020'!$H$4502+'[11]ABRIL 2020'!$H$4511+'[11]ABRIL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+[2]OCTUBRE!$H$4293-CH67</f>
        <v>24657121</v>
      </c>
      <c r="CY67" s="24"/>
      <c r="CZ67" s="24"/>
      <c r="DA67" s="24"/>
      <c r="DB67" s="24"/>
      <c r="DC67" s="24"/>
      <c r="DD67" s="27">
        <f t="shared" si="8"/>
        <v>0.41592029991654211</v>
      </c>
      <c r="DE67" s="24">
        <f t="shared" si="50"/>
        <v>53162971</v>
      </c>
      <c r="DF67" s="24">
        <f t="shared" ref="DF67:DT76" si="57">+J67-CG67</f>
        <v>0</v>
      </c>
      <c r="DG67" s="24">
        <f t="shared" si="57"/>
        <v>0</v>
      </c>
      <c r="DH67" s="24">
        <f t="shared" si="57"/>
        <v>0</v>
      </c>
      <c r="DI67" s="24">
        <f t="shared" si="57"/>
        <v>0</v>
      </c>
      <c r="DJ67" s="24">
        <f t="shared" si="57"/>
        <v>0</v>
      </c>
      <c r="DK67" s="24">
        <f t="shared" si="57"/>
        <v>0</v>
      </c>
      <c r="DL67" s="24">
        <f t="shared" si="57"/>
        <v>0</v>
      </c>
      <c r="DM67" s="24">
        <f t="shared" si="57"/>
        <v>0</v>
      </c>
      <c r="DN67" s="24">
        <f t="shared" si="57"/>
        <v>0</v>
      </c>
      <c r="DO67" s="24">
        <f t="shared" si="57"/>
        <v>0</v>
      </c>
      <c r="DP67" s="24">
        <f t="shared" si="57"/>
        <v>0</v>
      </c>
      <c r="DQ67" s="24">
        <f t="shared" si="57"/>
        <v>0</v>
      </c>
      <c r="DR67" s="24">
        <f t="shared" si="57"/>
        <v>0</v>
      </c>
      <c r="DS67" s="24">
        <f t="shared" si="57"/>
        <v>0</v>
      </c>
      <c r="DT67" s="24">
        <f t="shared" si="57"/>
        <v>0</v>
      </c>
      <c r="DU67" s="24">
        <f t="shared" si="55"/>
        <v>0</v>
      </c>
      <c r="DV67" s="24">
        <f t="shared" si="52"/>
        <v>0</v>
      </c>
      <c r="DW67" s="24">
        <f t="shared" si="52"/>
        <v>45162971</v>
      </c>
      <c r="DX67" s="24">
        <f t="shared" si="52"/>
        <v>0</v>
      </c>
      <c r="DY67" s="24">
        <f t="shared" si="52"/>
        <v>0</v>
      </c>
      <c r="DZ67" s="24">
        <f t="shared" si="52"/>
        <v>0</v>
      </c>
      <c r="EA67" s="24">
        <f t="shared" si="52"/>
        <v>0</v>
      </c>
      <c r="EB67" s="24">
        <f t="shared" si="52"/>
        <v>8000000</v>
      </c>
      <c r="ED67" s="31">
        <f t="shared" si="11"/>
        <v>127820092</v>
      </c>
      <c r="EE67" s="31">
        <f t="shared" si="15"/>
        <v>127820092</v>
      </c>
      <c r="EF67" s="31">
        <f t="shared" si="16"/>
        <v>127820092</v>
      </c>
    </row>
    <row r="68" spans="1:136" ht="19.149999999999999" customHeight="1" x14ac:dyDescent="0.25">
      <c r="A68" s="232" t="s">
        <v>170</v>
      </c>
      <c r="B68" s="228" t="s">
        <v>213</v>
      </c>
      <c r="C68" s="34" t="s">
        <v>214</v>
      </c>
      <c r="D68" s="21" t="s">
        <v>215</v>
      </c>
      <c r="E68" s="22">
        <v>520</v>
      </c>
      <c r="F68" s="23" t="s">
        <v>117</v>
      </c>
      <c r="G68" s="24">
        <f t="shared" si="43"/>
        <v>120359196</v>
      </c>
      <c r="H68" s="25">
        <f>+[13]SP!$F$59</f>
        <v>154600000</v>
      </c>
      <c r="I68" s="25">
        <f t="shared" si="53"/>
        <v>34240804</v>
      </c>
      <c r="J68" s="47"/>
      <c r="K68" s="24">
        <f>70000000+19859196</f>
        <v>89859196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25500000</v>
      </c>
      <c r="AB68" s="24"/>
      <c r="AC68" s="24"/>
      <c r="AD68" s="24"/>
      <c r="AE68" s="24"/>
      <c r="AF68" s="26">
        <v>5000000</v>
      </c>
      <c r="AG68" s="27">
        <f t="shared" si="1"/>
        <v>0.95014921834472876</v>
      </c>
      <c r="AH68" s="24">
        <f t="shared" si="44"/>
        <v>114359196</v>
      </c>
      <c r="AI68" s="24"/>
      <c r="AJ68" s="24">
        <f>+[4]JULIO!$K$3397</f>
        <v>83859196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f>+[3]SEPTIEMBRE!$AA$4084</f>
        <v>25500000</v>
      </c>
      <c r="BA68" s="24"/>
      <c r="BB68" s="24"/>
      <c r="BC68" s="24"/>
      <c r="BD68" s="24"/>
      <c r="BE68" s="24">
        <f>+[2]OCTUBRE!$AG$4361</f>
        <v>5000000</v>
      </c>
      <c r="BF68" s="27">
        <f t="shared" si="13"/>
        <v>4.9850781655271237E-2</v>
      </c>
      <c r="BG68" s="24">
        <f t="shared" si="45"/>
        <v>6000000</v>
      </c>
      <c r="BH68" s="24">
        <f t="shared" si="56"/>
        <v>0</v>
      </c>
      <c r="BI68" s="24">
        <f t="shared" si="56"/>
        <v>6000000</v>
      </c>
      <c r="BJ68" s="24">
        <f t="shared" si="56"/>
        <v>0</v>
      </c>
      <c r="BK68" s="24">
        <f t="shared" si="56"/>
        <v>0</v>
      </c>
      <c r="BL68" s="24">
        <f t="shared" si="56"/>
        <v>0</v>
      </c>
      <c r="BM68" s="24">
        <f t="shared" si="56"/>
        <v>0</v>
      </c>
      <c r="BN68" s="24">
        <f t="shared" si="56"/>
        <v>0</v>
      </c>
      <c r="BO68" s="24">
        <f t="shared" si="56"/>
        <v>0</v>
      </c>
      <c r="BP68" s="24">
        <f t="shared" si="56"/>
        <v>0</v>
      </c>
      <c r="BQ68" s="24">
        <f t="shared" si="56"/>
        <v>0</v>
      </c>
      <c r="BR68" s="24">
        <f t="shared" si="56"/>
        <v>0</v>
      </c>
      <c r="BS68" s="24">
        <f t="shared" si="56"/>
        <v>0</v>
      </c>
      <c r="BT68" s="24">
        <f t="shared" si="56"/>
        <v>0</v>
      </c>
      <c r="BU68" s="24">
        <f t="shared" si="56"/>
        <v>0</v>
      </c>
      <c r="BV68" s="24">
        <f t="shared" si="56"/>
        <v>0</v>
      </c>
      <c r="BW68" s="24">
        <f t="shared" si="54"/>
        <v>0</v>
      </c>
      <c r="BX68" s="24">
        <f t="shared" si="47"/>
        <v>0</v>
      </c>
      <c r="BY68" s="24">
        <f t="shared" si="47"/>
        <v>0</v>
      </c>
      <c r="BZ68" s="24">
        <f t="shared" si="47"/>
        <v>0</v>
      </c>
      <c r="CA68" s="24">
        <f t="shared" si="47"/>
        <v>0</v>
      </c>
      <c r="CB68" s="24">
        <f t="shared" si="47"/>
        <v>0</v>
      </c>
      <c r="CC68" s="24">
        <f t="shared" si="47"/>
        <v>0</v>
      </c>
      <c r="CD68" s="24">
        <f t="shared" si="47"/>
        <v>0</v>
      </c>
      <c r="CE68" s="27">
        <f t="shared" si="48"/>
        <v>0.83919128206871707</v>
      </c>
      <c r="CF68" s="24">
        <f t="shared" si="49"/>
        <v>101004388</v>
      </c>
      <c r="CG68" s="24"/>
      <c r="CH68" s="24">
        <f>+[2]OCTUBRE!$H$4362+[2]OCTUBRE!$H$4368+[2]OCTUBRE!$H$4374+[2]OCTUBRE!$H$4378+[2]OCTUBRE!$H$4381</f>
        <v>76204388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>
        <f>+[2]OCTUBRE!$H$4359-CH68</f>
        <v>24800000</v>
      </c>
      <c r="CY68" s="24"/>
      <c r="CZ68" s="24"/>
      <c r="DA68" s="24"/>
      <c r="DB68" s="24"/>
      <c r="DC68" s="24"/>
      <c r="DD68" s="27">
        <f t="shared" si="8"/>
        <v>0.16080871793128293</v>
      </c>
      <c r="DE68" s="24">
        <f t="shared" si="50"/>
        <v>19354808</v>
      </c>
      <c r="DF68" s="24">
        <f t="shared" si="57"/>
        <v>0</v>
      </c>
      <c r="DG68" s="24">
        <f t="shared" si="57"/>
        <v>13654808</v>
      </c>
      <c r="DH68" s="24">
        <f t="shared" si="57"/>
        <v>0</v>
      </c>
      <c r="DI68" s="24">
        <f t="shared" si="57"/>
        <v>0</v>
      </c>
      <c r="DJ68" s="24">
        <f t="shared" si="57"/>
        <v>0</v>
      </c>
      <c r="DK68" s="24">
        <f t="shared" si="57"/>
        <v>0</v>
      </c>
      <c r="DL68" s="24">
        <f t="shared" si="57"/>
        <v>0</v>
      </c>
      <c r="DM68" s="24">
        <f t="shared" si="57"/>
        <v>0</v>
      </c>
      <c r="DN68" s="24">
        <f t="shared" si="57"/>
        <v>0</v>
      </c>
      <c r="DO68" s="24">
        <f t="shared" si="57"/>
        <v>0</v>
      </c>
      <c r="DP68" s="24">
        <f t="shared" si="57"/>
        <v>0</v>
      </c>
      <c r="DQ68" s="24">
        <f t="shared" si="57"/>
        <v>0</v>
      </c>
      <c r="DR68" s="24">
        <f t="shared" si="57"/>
        <v>0</v>
      </c>
      <c r="DS68" s="24">
        <f t="shared" si="57"/>
        <v>0</v>
      </c>
      <c r="DT68" s="24">
        <f t="shared" si="57"/>
        <v>0</v>
      </c>
      <c r="DU68" s="24">
        <f t="shared" si="55"/>
        <v>0</v>
      </c>
      <c r="DV68" s="24">
        <f t="shared" si="52"/>
        <v>0</v>
      </c>
      <c r="DW68" s="24">
        <f t="shared" si="52"/>
        <v>700000</v>
      </c>
      <c r="DX68" s="24">
        <f t="shared" si="52"/>
        <v>0</v>
      </c>
      <c r="DY68" s="24">
        <f t="shared" si="52"/>
        <v>0</v>
      </c>
      <c r="DZ68" s="24">
        <f t="shared" si="52"/>
        <v>0</v>
      </c>
      <c r="EA68" s="24">
        <f t="shared" si="52"/>
        <v>0</v>
      </c>
      <c r="EB68" s="24">
        <f t="shared" si="52"/>
        <v>5000000</v>
      </c>
      <c r="ED68" s="31">
        <f t="shared" si="11"/>
        <v>120359196</v>
      </c>
      <c r="EE68" s="31">
        <f t="shared" si="15"/>
        <v>120359196</v>
      </c>
      <c r="EF68" s="31">
        <f t="shared" si="16"/>
        <v>120359196</v>
      </c>
    </row>
    <row r="69" spans="1:136" ht="20.45" customHeight="1" x14ac:dyDescent="0.25">
      <c r="A69" s="233"/>
      <c r="B69" s="231"/>
      <c r="C69" s="34" t="s">
        <v>216</v>
      </c>
      <c r="D69" s="21" t="s">
        <v>217</v>
      </c>
      <c r="E69" s="22">
        <v>520</v>
      </c>
      <c r="F69" s="23" t="s">
        <v>117</v>
      </c>
      <c r="G69" s="24">
        <f t="shared" si="43"/>
        <v>112600000</v>
      </c>
      <c r="H69" s="25">
        <f>+[13]SP!$F$62</f>
        <v>148300000</v>
      </c>
      <c r="I69" s="25">
        <f t="shared" si="53"/>
        <v>35700000</v>
      </c>
      <c r="J69" s="47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9"/>
      <c r="AA69" s="24">
        <v>52600000</v>
      </c>
      <c r="AB69" s="24"/>
      <c r="AC69" s="24"/>
      <c r="AD69" s="24"/>
      <c r="AE69" s="24"/>
      <c r="AF69" s="26">
        <v>0</v>
      </c>
      <c r="AG69" s="27">
        <f t="shared" si="1"/>
        <v>0.97254884547069276</v>
      </c>
      <c r="AH69" s="24">
        <f t="shared" si="44"/>
        <v>109509000</v>
      </c>
      <c r="AI69" s="24"/>
      <c r="AJ69" s="24">
        <f>+[2]OCTUBRE!$K$4396</f>
        <v>56909000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f>+[3]SEPTIEMBRE!$AA$4113</f>
        <v>52600000</v>
      </c>
      <c r="BA69" s="24"/>
      <c r="BB69" s="24"/>
      <c r="BC69" s="24"/>
      <c r="BD69" s="24"/>
      <c r="BE69" s="24"/>
      <c r="BF69" s="27">
        <f t="shared" si="13"/>
        <v>2.7451154529307242E-2</v>
      </c>
      <c r="BG69" s="24">
        <f t="shared" si="45"/>
        <v>3091000</v>
      </c>
      <c r="BH69" s="24">
        <f t="shared" si="56"/>
        <v>0</v>
      </c>
      <c r="BI69" s="24">
        <f t="shared" si="56"/>
        <v>3091000</v>
      </c>
      <c r="BJ69" s="24">
        <f t="shared" si="56"/>
        <v>0</v>
      </c>
      <c r="BK69" s="24">
        <f t="shared" si="56"/>
        <v>0</v>
      </c>
      <c r="BL69" s="24">
        <f t="shared" si="56"/>
        <v>0</v>
      </c>
      <c r="BM69" s="24">
        <f t="shared" si="56"/>
        <v>0</v>
      </c>
      <c r="BN69" s="24">
        <f t="shared" si="56"/>
        <v>0</v>
      </c>
      <c r="BO69" s="24">
        <f t="shared" si="56"/>
        <v>0</v>
      </c>
      <c r="BP69" s="24">
        <f t="shared" si="56"/>
        <v>0</v>
      </c>
      <c r="BQ69" s="24">
        <f t="shared" si="56"/>
        <v>0</v>
      </c>
      <c r="BR69" s="24">
        <f t="shared" si="56"/>
        <v>0</v>
      </c>
      <c r="BS69" s="24">
        <f t="shared" si="56"/>
        <v>0</v>
      </c>
      <c r="BT69" s="24">
        <f t="shared" si="56"/>
        <v>0</v>
      </c>
      <c r="BU69" s="24">
        <f t="shared" si="56"/>
        <v>0</v>
      </c>
      <c r="BV69" s="24">
        <f t="shared" si="56"/>
        <v>0</v>
      </c>
      <c r="BW69" s="24">
        <f t="shared" si="54"/>
        <v>0</v>
      </c>
      <c r="BX69" s="24">
        <f t="shared" si="47"/>
        <v>0</v>
      </c>
      <c r="BY69" s="24">
        <f t="shared" si="47"/>
        <v>0</v>
      </c>
      <c r="BZ69" s="24">
        <f t="shared" si="47"/>
        <v>0</v>
      </c>
      <c r="CA69" s="24">
        <f t="shared" si="47"/>
        <v>0</v>
      </c>
      <c r="CB69" s="24">
        <f t="shared" si="47"/>
        <v>0</v>
      </c>
      <c r="CC69" s="24">
        <f t="shared" si="47"/>
        <v>0</v>
      </c>
      <c r="CD69" s="24">
        <f t="shared" si="47"/>
        <v>0</v>
      </c>
      <c r="CE69" s="27">
        <f t="shared" si="48"/>
        <v>0.75052395204262878</v>
      </c>
      <c r="CF69" s="24">
        <f t="shared" si="49"/>
        <v>84508997</v>
      </c>
      <c r="CG69" s="24"/>
      <c r="CH69" s="24">
        <f>+[2]OCTUBRE!$H$4397+[2]OCTUBRE!$H$4403+[2]OCTUBRE!$H$4409</f>
        <v>56909000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f>+[2]OCTUBRE!$H$4394-CH69</f>
        <v>27599997</v>
      </c>
      <c r="CY69" s="24"/>
      <c r="CZ69" s="24"/>
      <c r="DA69" s="24"/>
      <c r="DB69" s="24"/>
      <c r="DC69" s="24"/>
      <c r="DD69" s="27">
        <f t="shared" si="8"/>
        <v>0.24947604795737122</v>
      </c>
      <c r="DE69" s="24">
        <f t="shared" si="50"/>
        <v>28091003</v>
      </c>
      <c r="DF69" s="24">
        <f t="shared" si="57"/>
        <v>0</v>
      </c>
      <c r="DG69" s="24">
        <f t="shared" si="57"/>
        <v>3091000</v>
      </c>
      <c r="DH69" s="24">
        <f t="shared" si="57"/>
        <v>0</v>
      </c>
      <c r="DI69" s="24">
        <f t="shared" si="57"/>
        <v>0</v>
      </c>
      <c r="DJ69" s="24">
        <f t="shared" si="57"/>
        <v>0</v>
      </c>
      <c r="DK69" s="24">
        <f t="shared" si="57"/>
        <v>0</v>
      </c>
      <c r="DL69" s="24">
        <f t="shared" si="57"/>
        <v>0</v>
      </c>
      <c r="DM69" s="24">
        <f t="shared" si="57"/>
        <v>0</v>
      </c>
      <c r="DN69" s="24">
        <f t="shared" si="57"/>
        <v>0</v>
      </c>
      <c r="DO69" s="24">
        <f t="shared" si="57"/>
        <v>0</v>
      </c>
      <c r="DP69" s="24">
        <f t="shared" si="57"/>
        <v>0</v>
      </c>
      <c r="DQ69" s="24">
        <f t="shared" si="57"/>
        <v>0</v>
      </c>
      <c r="DR69" s="24">
        <f t="shared" si="57"/>
        <v>0</v>
      </c>
      <c r="DS69" s="24">
        <f t="shared" si="57"/>
        <v>0</v>
      </c>
      <c r="DT69" s="24">
        <f t="shared" si="57"/>
        <v>0</v>
      </c>
      <c r="DU69" s="24">
        <f t="shared" si="55"/>
        <v>0</v>
      </c>
      <c r="DV69" s="24">
        <f t="shared" si="52"/>
        <v>0</v>
      </c>
      <c r="DW69" s="24">
        <f t="shared" si="52"/>
        <v>25000003</v>
      </c>
      <c r="DX69" s="24">
        <f t="shared" si="52"/>
        <v>0</v>
      </c>
      <c r="DY69" s="24">
        <f t="shared" si="52"/>
        <v>0</v>
      </c>
      <c r="DZ69" s="24">
        <f t="shared" si="52"/>
        <v>0</v>
      </c>
      <c r="EA69" s="24">
        <f t="shared" si="52"/>
        <v>0</v>
      </c>
      <c r="EB69" s="24">
        <f t="shared" si="52"/>
        <v>0</v>
      </c>
      <c r="ED69" s="31">
        <f t="shared" si="11"/>
        <v>112600000</v>
      </c>
      <c r="EE69" s="31">
        <f t="shared" si="15"/>
        <v>112600000</v>
      </c>
      <c r="EF69" s="31">
        <f t="shared" si="16"/>
        <v>112600000</v>
      </c>
    </row>
    <row r="70" spans="1:136" ht="17.45" customHeight="1" x14ac:dyDescent="0.25">
      <c r="A70" s="233"/>
      <c r="B70" s="231"/>
      <c r="C70" s="34" t="s">
        <v>218</v>
      </c>
      <c r="D70" s="21" t="s">
        <v>219</v>
      </c>
      <c r="E70" s="22">
        <v>520</v>
      </c>
      <c r="F70" s="23" t="s">
        <v>117</v>
      </c>
      <c r="G70" s="24">
        <f t="shared" si="43"/>
        <v>76066666</v>
      </c>
      <c r="H70" s="25">
        <f>+[13]SP!$F$63</f>
        <v>90200000</v>
      </c>
      <c r="I70" s="25">
        <f t="shared" si="53"/>
        <v>14133334</v>
      </c>
      <c r="J70" s="47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9"/>
      <c r="AA70" s="24">
        <f>26066666</f>
        <v>26066666</v>
      </c>
      <c r="AB70" s="24"/>
      <c r="AC70" s="24"/>
      <c r="AD70" s="24"/>
      <c r="AE70" s="24"/>
      <c r="AF70" s="26">
        <v>0</v>
      </c>
      <c r="AG70" s="27">
        <f t="shared" ref="AG70:AG129" si="58">AH70/G70</f>
        <v>0.88168273340650949</v>
      </c>
      <c r="AH70" s="24">
        <f t="shared" si="44"/>
        <v>67066666</v>
      </c>
      <c r="AI70" s="24"/>
      <c r="AJ70" s="24">
        <f>+[2]OCTUBRE!$K$4423</f>
        <v>41000000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f>+[3]SEPTIEMBRE!$AA$4136</f>
        <v>26066666</v>
      </c>
      <c r="BA70" s="24"/>
      <c r="BB70" s="24"/>
      <c r="BC70" s="24"/>
      <c r="BD70" s="24"/>
      <c r="BE70" s="24"/>
      <c r="BF70" s="27">
        <f t="shared" si="13"/>
        <v>0.11831726659349051</v>
      </c>
      <c r="BG70" s="24">
        <f t="shared" si="45"/>
        <v>9000000</v>
      </c>
      <c r="BH70" s="24">
        <f t="shared" si="56"/>
        <v>0</v>
      </c>
      <c r="BI70" s="24">
        <f t="shared" si="56"/>
        <v>9000000</v>
      </c>
      <c r="BJ70" s="24">
        <f t="shared" si="56"/>
        <v>0</v>
      </c>
      <c r="BK70" s="24">
        <f t="shared" si="56"/>
        <v>0</v>
      </c>
      <c r="BL70" s="24">
        <f t="shared" si="56"/>
        <v>0</v>
      </c>
      <c r="BM70" s="24">
        <f t="shared" si="56"/>
        <v>0</v>
      </c>
      <c r="BN70" s="24">
        <f t="shared" si="56"/>
        <v>0</v>
      </c>
      <c r="BO70" s="24">
        <f t="shared" si="56"/>
        <v>0</v>
      </c>
      <c r="BP70" s="24">
        <f t="shared" si="56"/>
        <v>0</v>
      </c>
      <c r="BQ70" s="24">
        <f t="shared" si="56"/>
        <v>0</v>
      </c>
      <c r="BR70" s="24">
        <f t="shared" si="56"/>
        <v>0</v>
      </c>
      <c r="BS70" s="24">
        <f t="shared" si="56"/>
        <v>0</v>
      </c>
      <c r="BT70" s="24">
        <f t="shared" si="56"/>
        <v>0</v>
      </c>
      <c r="BU70" s="24">
        <f t="shared" si="56"/>
        <v>0</v>
      </c>
      <c r="BV70" s="24">
        <f t="shared" si="56"/>
        <v>0</v>
      </c>
      <c r="BW70" s="24">
        <f t="shared" si="54"/>
        <v>0</v>
      </c>
      <c r="BX70" s="24">
        <f t="shared" si="47"/>
        <v>0</v>
      </c>
      <c r="BY70" s="24">
        <f t="shared" si="47"/>
        <v>0</v>
      </c>
      <c r="BZ70" s="24">
        <f t="shared" si="47"/>
        <v>0</v>
      </c>
      <c r="CA70" s="24">
        <f t="shared" si="47"/>
        <v>0</v>
      </c>
      <c r="CB70" s="24">
        <f t="shared" si="47"/>
        <v>0</v>
      </c>
      <c r="CC70" s="24">
        <f t="shared" si="47"/>
        <v>0</v>
      </c>
      <c r="CD70" s="24">
        <f t="shared" si="47"/>
        <v>0</v>
      </c>
      <c r="CE70" s="27">
        <f t="shared" si="48"/>
        <v>0.47134012683032539</v>
      </c>
      <c r="CF70" s="24">
        <f t="shared" si="49"/>
        <v>35853272</v>
      </c>
      <c r="CG70" s="24"/>
      <c r="CH70" s="24">
        <f>+[2]OCTUBRE!$H$4424+[2]OCTUBRE!$H$4428</f>
        <v>24353332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>
        <f>+[2]OCTUBRE!$H$4421-CH70</f>
        <v>11499940</v>
      </c>
      <c r="CY70" s="24"/>
      <c r="CZ70" s="24"/>
      <c r="DA70" s="24"/>
      <c r="DB70" s="24"/>
      <c r="DC70" s="24"/>
      <c r="DD70" s="27">
        <f t="shared" ref="DD70:DD129" si="59">1-CE70</f>
        <v>0.52865987316967455</v>
      </c>
      <c r="DE70" s="24">
        <f t="shared" si="50"/>
        <v>40213394</v>
      </c>
      <c r="DF70" s="24">
        <f t="shared" si="57"/>
        <v>0</v>
      </c>
      <c r="DG70" s="24">
        <f t="shared" si="57"/>
        <v>25646668</v>
      </c>
      <c r="DH70" s="24">
        <f t="shared" si="57"/>
        <v>0</v>
      </c>
      <c r="DI70" s="24">
        <f t="shared" si="57"/>
        <v>0</v>
      </c>
      <c r="DJ70" s="24">
        <f t="shared" si="57"/>
        <v>0</v>
      </c>
      <c r="DK70" s="24">
        <f t="shared" si="57"/>
        <v>0</v>
      </c>
      <c r="DL70" s="24">
        <f t="shared" si="57"/>
        <v>0</v>
      </c>
      <c r="DM70" s="24">
        <f t="shared" si="57"/>
        <v>0</v>
      </c>
      <c r="DN70" s="24">
        <f t="shared" si="57"/>
        <v>0</v>
      </c>
      <c r="DO70" s="24">
        <f t="shared" si="57"/>
        <v>0</v>
      </c>
      <c r="DP70" s="24">
        <f t="shared" si="57"/>
        <v>0</v>
      </c>
      <c r="DQ70" s="24">
        <f t="shared" si="57"/>
        <v>0</v>
      </c>
      <c r="DR70" s="24">
        <f t="shared" si="57"/>
        <v>0</v>
      </c>
      <c r="DS70" s="24">
        <f t="shared" si="57"/>
        <v>0</v>
      </c>
      <c r="DT70" s="24">
        <f t="shared" si="57"/>
        <v>0</v>
      </c>
      <c r="DU70" s="24">
        <f t="shared" si="55"/>
        <v>0</v>
      </c>
      <c r="DV70" s="24">
        <f t="shared" si="52"/>
        <v>0</v>
      </c>
      <c r="DW70" s="24">
        <f t="shared" si="52"/>
        <v>14566726</v>
      </c>
      <c r="DX70" s="24">
        <f t="shared" si="52"/>
        <v>0</v>
      </c>
      <c r="DY70" s="24">
        <f t="shared" si="52"/>
        <v>0</v>
      </c>
      <c r="DZ70" s="24">
        <f t="shared" si="52"/>
        <v>0</v>
      </c>
      <c r="EA70" s="24">
        <f t="shared" si="52"/>
        <v>0</v>
      </c>
      <c r="EB70" s="24">
        <f t="shared" si="52"/>
        <v>0</v>
      </c>
      <c r="ED70" s="31">
        <f t="shared" ref="ED70:ED129" si="60">+G70</f>
        <v>76066666</v>
      </c>
      <c r="EE70" s="31">
        <f t="shared" si="15"/>
        <v>76066666</v>
      </c>
      <c r="EF70" s="31">
        <f t="shared" si="16"/>
        <v>76066666</v>
      </c>
    </row>
    <row r="71" spans="1:136" ht="57.6" customHeight="1" x14ac:dyDescent="0.25">
      <c r="A71" s="233"/>
      <c r="B71" s="231"/>
      <c r="C71" s="34" t="s">
        <v>220</v>
      </c>
      <c r="D71" s="21" t="s">
        <v>221</v>
      </c>
      <c r="E71" s="22">
        <v>520</v>
      </c>
      <c r="F71" s="23" t="s">
        <v>222</v>
      </c>
      <c r="G71" s="24">
        <f t="shared" si="43"/>
        <v>174947348</v>
      </c>
      <c r="H71" s="25">
        <f>+[13]SP!$F$64</f>
        <v>167900000</v>
      </c>
      <c r="I71" s="25">
        <f t="shared" si="53"/>
        <v>-7047348</v>
      </c>
      <c r="J71" s="47"/>
      <c r="K71" s="24">
        <f>65055559+3134442</f>
        <v>68190001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9"/>
      <c r="AA71" s="24">
        <v>20100000</v>
      </c>
      <c r="AB71" s="24"/>
      <c r="AC71" s="24"/>
      <c r="AD71" s="24"/>
      <c r="AE71" s="24"/>
      <c r="AF71" s="26">
        <f>15000000+30812637+14099588+5000000+3000000+8000000-5000000+11349709+4395413</f>
        <v>86657347</v>
      </c>
      <c r="AG71" s="27">
        <f t="shared" si="58"/>
        <v>0.83080857561784816</v>
      </c>
      <c r="AH71" s="24">
        <f t="shared" si="44"/>
        <v>145347757</v>
      </c>
      <c r="AI71" s="24"/>
      <c r="AJ71" s="24">
        <f>+[4]JULIO!$K$3456</f>
        <v>68190001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f>+[3]SEPTIEMBRE!$AA$4152</f>
        <v>20100000</v>
      </c>
      <c r="BA71" s="24"/>
      <c r="BB71" s="24"/>
      <c r="BC71" s="24"/>
      <c r="BD71" s="24"/>
      <c r="BE71" s="24">
        <f>+[2]OCTUBRE!$AG$4441</f>
        <v>57057756</v>
      </c>
      <c r="BF71" s="27">
        <f t="shared" ref="BF71:BF129" si="61">1-AG71</f>
        <v>0.16919142438215184</v>
      </c>
      <c r="BG71" s="24">
        <f t="shared" si="45"/>
        <v>29599591</v>
      </c>
      <c r="BH71" s="24">
        <f t="shared" si="56"/>
        <v>0</v>
      </c>
      <c r="BI71" s="24">
        <f t="shared" si="56"/>
        <v>0</v>
      </c>
      <c r="BJ71" s="24">
        <f t="shared" si="56"/>
        <v>0</v>
      </c>
      <c r="BK71" s="24">
        <f t="shared" si="56"/>
        <v>0</v>
      </c>
      <c r="BL71" s="24">
        <f t="shared" si="56"/>
        <v>0</v>
      </c>
      <c r="BM71" s="24">
        <f t="shared" si="56"/>
        <v>0</v>
      </c>
      <c r="BN71" s="24">
        <f t="shared" si="56"/>
        <v>0</v>
      </c>
      <c r="BO71" s="24">
        <f t="shared" si="56"/>
        <v>0</v>
      </c>
      <c r="BP71" s="24">
        <f t="shared" si="56"/>
        <v>0</v>
      </c>
      <c r="BQ71" s="24">
        <f t="shared" si="56"/>
        <v>0</v>
      </c>
      <c r="BR71" s="24">
        <f t="shared" si="56"/>
        <v>0</v>
      </c>
      <c r="BS71" s="24">
        <f t="shared" si="56"/>
        <v>0</v>
      </c>
      <c r="BT71" s="24">
        <f t="shared" si="56"/>
        <v>0</v>
      </c>
      <c r="BU71" s="24">
        <f t="shared" si="56"/>
        <v>0</v>
      </c>
      <c r="BV71" s="24">
        <f t="shared" si="56"/>
        <v>0</v>
      </c>
      <c r="BW71" s="24">
        <f t="shared" si="54"/>
        <v>0</v>
      </c>
      <c r="BX71" s="24">
        <f t="shared" si="47"/>
        <v>0</v>
      </c>
      <c r="BY71" s="24">
        <f t="shared" si="47"/>
        <v>0</v>
      </c>
      <c r="BZ71" s="24">
        <f t="shared" si="47"/>
        <v>0</v>
      </c>
      <c r="CA71" s="24">
        <f t="shared" si="47"/>
        <v>0</v>
      </c>
      <c r="CB71" s="24">
        <f t="shared" si="47"/>
        <v>0</v>
      </c>
      <c r="CC71" s="24">
        <f t="shared" si="47"/>
        <v>0</v>
      </c>
      <c r="CD71" s="24">
        <f t="shared" si="47"/>
        <v>29599591</v>
      </c>
      <c r="CE71" s="27">
        <f t="shared" si="48"/>
        <v>0.71172121454507553</v>
      </c>
      <c r="CF71" s="24">
        <f t="shared" si="49"/>
        <v>124513739</v>
      </c>
      <c r="CG71" s="24"/>
      <c r="CH71" s="24">
        <f>+[2]OCTUBRE!$H$4442+[2]OCTUBRE!$H$4449</f>
        <v>56121993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>
        <f>+[2]OCTUBRE!$H$4475</f>
        <v>20100000</v>
      </c>
      <c r="CY71" s="24"/>
      <c r="CZ71" s="24"/>
      <c r="DA71" s="24"/>
      <c r="DB71" s="24"/>
      <c r="DC71" s="24">
        <f>+[2]OCTUBRE!$H$4439-CX71-CH71</f>
        <v>48291746</v>
      </c>
      <c r="DD71" s="27">
        <f t="shared" si="59"/>
        <v>0.28827878545492447</v>
      </c>
      <c r="DE71" s="24">
        <f t="shared" si="50"/>
        <v>50433609</v>
      </c>
      <c r="DF71" s="24">
        <f t="shared" si="57"/>
        <v>0</v>
      </c>
      <c r="DG71" s="24">
        <f t="shared" si="57"/>
        <v>12068008</v>
      </c>
      <c r="DH71" s="24">
        <f t="shared" si="57"/>
        <v>0</v>
      </c>
      <c r="DI71" s="24">
        <f t="shared" si="57"/>
        <v>0</v>
      </c>
      <c r="DJ71" s="24">
        <f t="shared" si="57"/>
        <v>0</v>
      </c>
      <c r="DK71" s="24">
        <f t="shared" si="57"/>
        <v>0</v>
      </c>
      <c r="DL71" s="24">
        <f t="shared" si="57"/>
        <v>0</v>
      </c>
      <c r="DM71" s="24">
        <f t="shared" si="57"/>
        <v>0</v>
      </c>
      <c r="DN71" s="24">
        <f t="shared" si="57"/>
        <v>0</v>
      </c>
      <c r="DO71" s="24">
        <f t="shared" si="57"/>
        <v>0</v>
      </c>
      <c r="DP71" s="24">
        <f t="shared" si="57"/>
        <v>0</v>
      </c>
      <c r="DQ71" s="24">
        <f t="shared" si="57"/>
        <v>0</v>
      </c>
      <c r="DR71" s="24">
        <f t="shared" si="57"/>
        <v>0</v>
      </c>
      <c r="DS71" s="24">
        <f t="shared" si="57"/>
        <v>0</v>
      </c>
      <c r="DT71" s="24">
        <f t="shared" si="57"/>
        <v>0</v>
      </c>
      <c r="DU71" s="24">
        <f t="shared" si="55"/>
        <v>0</v>
      </c>
      <c r="DV71" s="24">
        <f t="shared" si="52"/>
        <v>0</v>
      </c>
      <c r="DW71" s="24">
        <f t="shared" si="52"/>
        <v>0</v>
      </c>
      <c r="DX71" s="24">
        <f t="shared" si="52"/>
        <v>0</v>
      </c>
      <c r="DY71" s="24">
        <f t="shared" si="52"/>
        <v>0</v>
      </c>
      <c r="DZ71" s="24">
        <f t="shared" si="52"/>
        <v>0</v>
      </c>
      <c r="EA71" s="24">
        <f t="shared" si="52"/>
        <v>0</v>
      </c>
      <c r="EB71" s="24">
        <f t="shared" si="52"/>
        <v>38365601</v>
      </c>
      <c r="ED71" s="31">
        <f t="shared" si="60"/>
        <v>174947348</v>
      </c>
      <c r="EE71" s="31">
        <f t="shared" ref="EE71:EE134" si="62">+AH71+BG71</f>
        <v>174947348</v>
      </c>
      <c r="EF71" s="31">
        <f t="shared" ref="EF71:EF134" si="63">+CF71+DE71</f>
        <v>174947348</v>
      </c>
    </row>
    <row r="72" spans="1:136" ht="36" customHeight="1" x14ac:dyDescent="0.25">
      <c r="A72" s="233"/>
      <c r="B72" s="228" t="s">
        <v>223</v>
      </c>
      <c r="C72" s="34" t="s">
        <v>224</v>
      </c>
      <c r="D72" s="21" t="s">
        <v>225</v>
      </c>
      <c r="E72" s="22">
        <v>520</v>
      </c>
      <c r="F72" s="23" t="s">
        <v>117</v>
      </c>
      <c r="G72" s="24">
        <f t="shared" si="43"/>
        <v>114700316</v>
      </c>
      <c r="H72" s="25">
        <f>+[13]SP!$F71</f>
        <v>130000000</v>
      </c>
      <c r="I72" s="25">
        <f t="shared" si="53"/>
        <v>15299684</v>
      </c>
      <c r="J72" s="47"/>
      <c r="K72" s="24">
        <f>130000000-15299684</f>
        <v>114700316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9"/>
      <c r="AA72" s="24"/>
      <c r="AB72" s="24"/>
      <c r="AC72" s="24"/>
      <c r="AD72" s="24"/>
      <c r="AE72" s="24"/>
      <c r="AF72" s="24">
        <v>0</v>
      </c>
      <c r="AG72" s="27">
        <f t="shared" si="58"/>
        <v>0.8297685422244172</v>
      </c>
      <c r="AH72" s="24">
        <f t="shared" si="44"/>
        <v>95174714</v>
      </c>
      <c r="AI72" s="24"/>
      <c r="AJ72" s="24">
        <f>+[3]SEPTIEMBRE!$K$4189</f>
        <v>95174714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7">
        <f t="shared" si="61"/>
        <v>0.1702314577755828</v>
      </c>
      <c r="BG72" s="24">
        <f t="shared" si="45"/>
        <v>19525602</v>
      </c>
      <c r="BH72" s="24">
        <f t="shared" si="56"/>
        <v>0</v>
      </c>
      <c r="BI72" s="24">
        <f t="shared" si="56"/>
        <v>19525602</v>
      </c>
      <c r="BJ72" s="24">
        <f t="shared" si="56"/>
        <v>0</v>
      </c>
      <c r="BK72" s="24">
        <f t="shared" si="56"/>
        <v>0</v>
      </c>
      <c r="BL72" s="24">
        <f t="shared" si="56"/>
        <v>0</v>
      </c>
      <c r="BM72" s="24">
        <f t="shared" si="56"/>
        <v>0</v>
      </c>
      <c r="BN72" s="24">
        <f t="shared" si="56"/>
        <v>0</v>
      </c>
      <c r="BO72" s="24">
        <f t="shared" si="56"/>
        <v>0</v>
      </c>
      <c r="BP72" s="24">
        <f t="shared" si="56"/>
        <v>0</v>
      </c>
      <c r="BQ72" s="24">
        <f t="shared" si="56"/>
        <v>0</v>
      </c>
      <c r="BR72" s="24">
        <f t="shared" si="56"/>
        <v>0</v>
      </c>
      <c r="BS72" s="24">
        <f t="shared" si="56"/>
        <v>0</v>
      </c>
      <c r="BT72" s="24">
        <f t="shared" si="56"/>
        <v>0</v>
      </c>
      <c r="BU72" s="24">
        <f t="shared" si="56"/>
        <v>0</v>
      </c>
      <c r="BV72" s="24">
        <f t="shared" si="56"/>
        <v>0</v>
      </c>
      <c r="BW72" s="24">
        <f t="shared" si="54"/>
        <v>0</v>
      </c>
      <c r="BX72" s="24">
        <f t="shared" si="47"/>
        <v>0</v>
      </c>
      <c r="BY72" s="24">
        <f t="shared" si="47"/>
        <v>0</v>
      </c>
      <c r="BZ72" s="24">
        <f t="shared" si="47"/>
        <v>0</v>
      </c>
      <c r="CA72" s="24">
        <f t="shared" si="47"/>
        <v>0</v>
      </c>
      <c r="CB72" s="24">
        <f t="shared" si="47"/>
        <v>0</v>
      </c>
      <c r="CC72" s="24">
        <f t="shared" si="47"/>
        <v>0</v>
      </c>
      <c r="CD72" s="24">
        <f t="shared" si="47"/>
        <v>0</v>
      </c>
      <c r="CE72" s="27">
        <f t="shared" si="48"/>
        <v>0.62513630738384363</v>
      </c>
      <c r="CF72" s="24">
        <f t="shared" si="49"/>
        <v>71703332</v>
      </c>
      <c r="CG72" s="24"/>
      <c r="CH72" s="24">
        <f>+[2]OCTUBRE!$H$4488+[2]OCTUBRE!$H$4492+[2]OCTUBRE!$H$4500+[2]OCTUBRE!$H$4503</f>
        <v>71703332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7">
        <f t="shared" si="59"/>
        <v>0.37486369261615637</v>
      </c>
      <c r="DE72" s="24">
        <f t="shared" si="50"/>
        <v>42996984</v>
      </c>
      <c r="DF72" s="24">
        <f t="shared" si="57"/>
        <v>0</v>
      </c>
      <c r="DG72" s="24">
        <f t="shared" si="57"/>
        <v>42996984</v>
      </c>
      <c r="DH72" s="24">
        <f t="shared" si="57"/>
        <v>0</v>
      </c>
      <c r="DI72" s="24">
        <f t="shared" si="57"/>
        <v>0</v>
      </c>
      <c r="DJ72" s="24">
        <f t="shared" si="57"/>
        <v>0</v>
      </c>
      <c r="DK72" s="24">
        <f t="shared" si="57"/>
        <v>0</v>
      </c>
      <c r="DL72" s="24">
        <f t="shared" si="57"/>
        <v>0</v>
      </c>
      <c r="DM72" s="24">
        <f t="shared" si="57"/>
        <v>0</v>
      </c>
      <c r="DN72" s="24">
        <f t="shared" si="57"/>
        <v>0</v>
      </c>
      <c r="DO72" s="24">
        <f t="shared" si="57"/>
        <v>0</v>
      </c>
      <c r="DP72" s="24">
        <f t="shared" si="57"/>
        <v>0</v>
      </c>
      <c r="DQ72" s="24">
        <f t="shared" si="57"/>
        <v>0</v>
      </c>
      <c r="DR72" s="24">
        <f t="shared" si="57"/>
        <v>0</v>
      </c>
      <c r="DS72" s="24">
        <f t="shared" si="57"/>
        <v>0</v>
      </c>
      <c r="DT72" s="24">
        <f t="shared" si="57"/>
        <v>0</v>
      </c>
      <c r="DU72" s="24">
        <f t="shared" si="55"/>
        <v>0</v>
      </c>
      <c r="DV72" s="24">
        <f t="shared" si="52"/>
        <v>0</v>
      </c>
      <c r="DW72" s="24">
        <f t="shared" si="52"/>
        <v>0</v>
      </c>
      <c r="DX72" s="24">
        <f t="shared" si="52"/>
        <v>0</v>
      </c>
      <c r="DY72" s="24">
        <f t="shared" si="52"/>
        <v>0</v>
      </c>
      <c r="DZ72" s="24">
        <f t="shared" si="52"/>
        <v>0</v>
      </c>
      <c r="EA72" s="24">
        <f t="shared" si="52"/>
        <v>0</v>
      </c>
      <c r="EB72" s="24">
        <f t="shared" si="52"/>
        <v>0</v>
      </c>
      <c r="ED72" s="31">
        <f t="shared" si="60"/>
        <v>114700316</v>
      </c>
      <c r="EE72" s="31">
        <f t="shared" si="62"/>
        <v>114700316</v>
      </c>
      <c r="EF72" s="31">
        <f t="shared" si="63"/>
        <v>114700316</v>
      </c>
    </row>
    <row r="73" spans="1:136" ht="34.5" customHeight="1" x14ac:dyDescent="0.25">
      <c r="A73" s="233"/>
      <c r="B73" s="231"/>
      <c r="C73" s="34" t="s">
        <v>226</v>
      </c>
      <c r="D73" s="64" t="s">
        <v>227</v>
      </c>
      <c r="E73" s="22">
        <v>520</v>
      </c>
      <c r="F73" s="23" t="s">
        <v>117</v>
      </c>
      <c r="G73" s="24">
        <f t="shared" si="43"/>
        <v>10000000</v>
      </c>
      <c r="H73" s="25">
        <f>+[13]SP!$F72</f>
        <v>10000000</v>
      </c>
      <c r="I73" s="25">
        <f t="shared" si="53"/>
        <v>0</v>
      </c>
      <c r="J73" s="47"/>
      <c r="K73" s="24">
        <v>10000000</v>
      </c>
      <c r="L73" s="49"/>
      <c r="M73" s="49"/>
      <c r="N73" s="49"/>
      <c r="O73" s="49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9"/>
      <c r="AA73" s="24"/>
      <c r="AB73" s="24"/>
      <c r="AC73" s="24"/>
      <c r="AD73" s="24"/>
      <c r="AE73" s="24"/>
      <c r="AF73" s="24">
        <v>0</v>
      </c>
      <c r="AG73" s="27">
        <f t="shared" si="58"/>
        <v>0.49</v>
      </c>
      <c r="AH73" s="24">
        <f t="shared" si="44"/>
        <v>4900000</v>
      </c>
      <c r="AI73" s="24"/>
      <c r="AJ73" s="24">
        <f>+[3]SEPTIEMBRE!$K$4208</f>
        <v>4900000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f t="shared" si="61"/>
        <v>0.51</v>
      </c>
      <c r="BG73" s="24">
        <f t="shared" si="45"/>
        <v>5100000</v>
      </c>
      <c r="BH73" s="24">
        <f t="shared" si="56"/>
        <v>0</v>
      </c>
      <c r="BI73" s="24">
        <f t="shared" si="56"/>
        <v>5100000</v>
      </c>
      <c r="BJ73" s="24">
        <f t="shared" si="56"/>
        <v>0</v>
      </c>
      <c r="BK73" s="24">
        <f t="shared" si="56"/>
        <v>0</v>
      </c>
      <c r="BL73" s="24">
        <f t="shared" si="56"/>
        <v>0</v>
      </c>
      <c r="BM73" s="24">
        <f t="shared" si="56"/>
        <v>0</v>
      </c>
      <c r="BN73" s="24">
        <f t="shared" si="56"/>
        <v>0</v>
      </c>
      <c r="BO73" s="24">
        <f t="shared" si="56"/>
        <v>0</v>
      </c>
      <c r="BP73" s="24">
        <f t="shared" si="56"/>
        <v>0</v>
      </c>
      <c r="BQ73" s="24">
        <f t="shared" si="56"/>
        <v>0</v>
      </c>
      <c r="BR73" s="24">
        <f t="shared" si="56"/>
        <v>0</v>
      </c>
      <c r="BS73" s="24">
        <f t="shared" si="56"/>
        <v>0</v>
      </c>
      <c r="BT73" s="24">
        <f t="shared" si="56"/>
        <v>0</v>
      </c>
      <c r="BU73" s="24">
        <f t="shared" si="56"/>
        <v>0</v>
      </c>
      <c r="BV73" s="24">
        <f t="shared" si="56"/>
        <v>0</v>
      </c>
      <c r="BW73" s="24">
        <f t="shared" si="54"/>
        <v>0</v>
      </c>
      <c r="BX73" s="24">
        <f t="shared" si="47"/>
        <v>0</v>
      </c>
      <c r="BY73" s="24">
        <f t="shared" si="47"/>
        <v>0</v>
      </c>
      <c r="BZ73" s="24">
        <f t="shared" si="47"/>
        <v>0</v>
      </c>
      <c r="CA73" s="24">
        <f t="shared" si="47"/>
        <v>0</v>
      </c>
      <c r="CB73" s="24">
        <f t="shared" si="47"/>
        <v>0</v>
      </c>
      <c r="CC73" s="24">
        <f t="shared" si="47"/>
        <v>0</v>
      </c>
      <c r="CD73" s="24">
        <f t="shared" si="47"/>
        <v>0</v>
      </c>
      <c r="CE73" s="27">
        <f t="shared" si="48"/>
        <v>0</v>
      </c>
      <c r="CF73" s="24">
        <f t="shared" si="49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9"/>
        <v>1</v>
      </c>
      <c r="DE73" s="24">
        <f t="shared" si="50"/>
        <v>10000000</v>
      </c>
      <c r="DF73" s="24">
        <f t="shared" si="57"/>
        <v>0</v>
      </c>
      <c r="DG73" s="24">
        <f t="shared" si="57"/>
        <v>10000000</v>
      </c>
      <c r="DH73" s="24">
        <f t="shared" si="57"/>
        <v>0</v>
      </c>
      <c r="DI73" s="24">
        <f t="shared" si="57"/>
        <v>0</v>
      </c>
      <c r="DJ73" s="24">
        <f t="shared" si="57"/>
        <v>0</v>
      </c>
      <c r="DK73" s="24">
        <f t="shared" si="57"/>
        <v>0</v>
      </c>
      <c r="DL73" s="24">
        <f t="shared" si="57"/>
        <v>0</v>
      </c>
      <c r="DM73" s="24">
        <f t="shared" si="57"/>
        <v>0</v>
      </c>
      <c r="DN73" s="24">
        <f t="shared" si="57"/>
        <v>0</v>
      </c>
      <c r="DO73" s="24">
        <f t="shared" si="57"/>
        <v>0</v>
      </c>
      <c r="DP73" s="24">
        <f t="shared" si="57"/>
        <v>0</v>
      </c>
      <c r="DQ73" s="24">
        <f t="shared" si="57"/>
        <v>0</v>
      </c>
      <c r="DR73" s="24">
        <f t="shared" si="57"/>
        <v>0</v>
      </c>
      <c r="DS73" s="24">
        <f t="shared" si="57"/>
        <v>0</v>
      </c>
      <c r="DT73" s="24">
        <f t="shared" si="57"/>
        <v>0</v>
      </c>
      <c r="DU73" s="24">
        <f t="shared" si="55"/>
        <v>0</v>
      </c>
      <c r="DV73" s="24">
        <f t="shared" si="52"/>
        <v>0</v>
      </c>
      <c r="DW73" s="24">
        <f t="shared" si="52"/>
        <v>0</v>
      </c>
      <c r="DX73" s="24">
        <f t="shared" si="52"/>
        <v>0</v>
      </c>
      <c r="DY73" s="24">
        <f t="shared" si="52"/>
        <v>0</v>
      </c>
      <c r="DZ73" s="24">
        <f t="shared" si="52"/>
        <v>0</v>
      </c>
      <c r="EA73" s="24">
        <f t="shared" si="52"/>
        <v>0</v>
      </c>
      <c r="EB73" s="24">
        <f t="shared" si="52"/>
        <v>0</v>
      </c>
      <c r="ED73" s="31">
        <f t="shared" si="60"/>
        <v>10000000</v>
      </c>
      <c r="EE73" s="31">
        <f t="shared" si="62"/>
        <v>10000000</v>
      </c>
      <c r="EF73" s="31">
        <f t="shared" si="63"/>
        <v>10000000</v>
      </c>
    </row>
    <row r="74" spans="1:136" ht="33" customHeight="1" x14ac:dyDescent="0.25">
      <c r="A74" s="233"/>
      <c r="B74" s="231"/>
      <c r="C74" s="34" t="s">
        <v>228</v>
      </c>
      <c r="D74" s="64" t="s">
        <v>229</v>
      </c>
      <c r="E74" s="22">
        <v>520</v>
      </c>
      <c r="F74" s="23" t="s">
        <v>117</v>
      </c>
      <c r="G74" s="24">
        <f t="shared" si="43"/>
        <v>8000000</v>
      </c>
      <c r="H74" s="25">
        <f>+[13]SP!$F73</f>
        <v>8000000</v>
      </c>
      <c r="I74" s="25">
        <f t="shared" si="53"/>
        <v>0</v>
      </c>
      <c r="J74" s="47"/>
      <c r="K74" s="24">
        <v>8000000</v>
      </c>
      <c r="L74" s="49"/>
      <c r="M74" s="49"/>
      <c r="N74" s="49"/>
      <c r="O74" s="49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9"/>
      <c r="AA74" s="24"/>
      <c r="AB74" s="24"/>
      <c r="AC74" s="24"/>
      <c r="AD74" s="24"/>
      <c r="AE74" s="24"/>
      <c r="AF74" s="24">
        <v>0</v>
      </c>
      <c r="AG74" s="27">
        <f t="shared" si="58"/>
        <v>1</v>
      </c>
      <c r="AH74" s="24">
        <f t="shared" si="44"/>
        <v>8000000</v>
      </c>
      <c r="AI74" s="24"/>
      <c r="AJ74" s="24">
        <f>+[4]JULIO!$K$3513</f>
        <v>8000000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>
        <f t="shared" si="61"/>
        <v>0</v>
      </c>
      <c r="BG74" s="24">
        <f t="shared" si="45"/>
        <v>0</v>
      </c>
      <c r="BH74" s="24">
        <f t="shared" si="56"/>
        <v>0</v>
      </c>
      <c r="BI74" s="24">
        <f t="shared" si="56"/>
        <v>0</v>
      </c>
      <c r="BJ74" s="24">
        <f t="shared" si="56"/>
        <v>0</v>
      </c>
      <c r="BK74" s="24">
        <f t="shared" si="56"/>
        <v>0</v>
      </c>
      <c r="BL74" s="24">
        <f t="shared" si="56"/>
        <v>0</v>
      </c>
      <c r="BM74" s="24">
        <f t="shared" si="56"/>
        <v>0</v>
      </c>
      <c r="BN74" s="24">
        <f t="shared" si="56"/>
        <v>0</v>
      </c>
      <c r="BO74" s="24">
        <f t="shared" si="56"/>
        <v>0</v>
      </c>
      <c r="BP74" s="24">
        <f t="shared" si="56"/>
        <v>0</v>
      </c>
      <c r="BQ74" s="24">
        <f t="shared" si="56"/>
        <v>0</v>
      </c>
      <c r="BR74" s="24">
        <f t="shared" si="56"/>
        <v>0</v>
      </c>
      <c r="BS74" s="24">
        <f t="shared" si="56"/>
        <v>0</v>
      </c>
      <c r="BT74" s="24">
        <f t="shared" si="56"/>
        <v>0</v>
      </c>
      <c r="BU74" s="24">
        <f t="shared" si="56"/>
        <v>0</v>
      </c>
      <c r="BV74" s="24">
        <f t="shared" si="56"/>
        <v>0</v>
      </c>
      <c r="BW74" s="24">
        <f t="shared" si="54"/>
        <v>0</v>
      </c>
      <c r="BX74" s="24">
        <f t="shared" si="47"/>
        <v>0</v>
      </c>
      <c r="BY74" s="24">
        <f t="shared" si="47"/>
        <v>0</v>
      </c>
      <c r="BZ74" s="24">
        <f t="shared" si="47"/>
        <v>0</v>
      </c>
      <c r="CA74" s="24">
        <f t="shared" si="47"/>
        <v>0</v>
      </c>
      <c r="CB74" s="24">
        <f t="shared" si="47"/>
        <v>0</v>
      </c>
      <c r="CC74" s="24">
        <f t="shared" si="47"/>
        <v>0</v>
      </c>
      <c r="CD74" s="24">
        <f t="shared" si="47"/>
        <v>0</v>
      </c>
      <c r="CE74" s="27">
        <f t="shared" si="48"/>
        <v>1</v>
      </c>
      <c r="CF74" s="24">
        <f t="shared" si="49"/>
        <v>8000000</v>
      </c>
      <c r="CG74" s="24"/>
      <c r="CH74" s="24">
        <f>+[8]AGOSTO!$H$3751</f>
        <v>8000000</v>
      </c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>
        <f t="shared" si="59"/>
        <v>0</v>
      </c>
      <c r="DE74" s="24">
        <f t="shared" si="50"/>
        <v>0</v>
      </c>
      <c r="DF74" s="24">
        <f t="shared" si="57"/>
        <v>0</v>
      </c>
      <c r="DG74" s="24">
        <f t="shared" si="57"/>
        <v>0</v>
      </c>
      <c r="DH74" s="24">
        <f t="shared" si="57"/>
        <v>0</v>
      </c>
      <c r="DI74" s="24">
        <f t="shared" si="57"/>
        <v>0</v>
      </c>
      <c r="DJ74" s="24">
        <f t="shared" si="57"/>
        <v>0</v>
      </c>
      <c r="DK74" s="24">
        <f t="shared" si="57"/>
        <v>0</v>
      </c>
      <c r="DL74" s="24">
        <f t="shared" si="57"/>
        <v>0</v>
      </c>
      <c r="DM74" s="24">
        <f t="shared" si="57"/>
        <v>0</v>
      </c>
      <c r="DN74" s="24">
        <f t="shared" si="57"/>
        <v>0</v>
      </c>
      <c r="DO74" s="24">
        <f t="shared" si="57"/>
        <v>0</v>
      </c>
      <c r="DP74" s="24">
        <f t="shared" si="57"/>
        <v>0</v>
      </c>
      <c r="DQ74" s="24">
        <f t="shared" si="57"/>
        <v>0</v>
      </c>
      <c r="DR74" s="24">
        <f t="shared" si="57"/>
        <v>0</v>
      </c>
      <c r="DS74" s="24">
        <f t="shared" si="57"/>
        <v>0</v>
      </c>
      <c r="DT74" s="24">
        <f t="shared" si="57"/>
        <v>0</v>
      </c>
      <c r="DU74" s="24">
        <f t="shared" si="55"/>
        <v>0</v>
      </c>
      <c r="DV74" s="24">
        <f t="shared" si="52"/>
        <v>0</v>
      </c>
      <c r="DW74" s="24">
        <f t="shared" si="52"/>
        <v>0</v>
      </c>
      <c r="DX74" s="24">
        <f t="shared" si="52"/>
        <v>0</v>
      </c>
      <c r="DY74" s="24">
        <f t="shared" si="52"/>
        <v>0</v>
      </c>
      <c r="DZ74" s="24">
        <f t="shared" si="52"/>
        <v>0</v>
      </c>
      <c r="EA74" s="24">
        <f t="shared" si="52"/>
        <v>0</v>
      </c>
      <c r="EB74" s="24">
        <f t="shared" si="52"/>
        <v>0</v>
      </c>
      <c r="ED74" s="31">
        <f t="shared" si="60"/>
        <v>8000000</v>
      </c>
      <c r="EE74" s="31">
        <f t="shared" si="62"/>
        <v>8000000</v>
      </c>
      <c r="EF74" s="31">
        <f t="shared" si="63"/>
        <v>8000000</v>
      </c>
    </row>
    <row r="75" spans="1:136" ht="36" customHeight="1" x14ac:dyDescent="0.25">
      <c r="A75" s="233"/>
      <c r="B75" s="229"/>
      <c r="C75" s="34" t="s">
        <v>230</v>
      </c>
      <c r="D75" s="64" t="s">
        <v>231</v>
      </c>
      <c r="E75" s="22">
        <v>520</v>
      </c>
      <c r="F75" s="23" t="s">
        <v>117</v>
      </c>
      <c r="G75" s="24">
        <f t="shared" si="43"/>
        <v>12831952</v>
      </c>
      <c r="H75" s="25">
        <f>+[13]SP!$F74</f>
        <v>25000000</v>
      </c>
      <c r="I75" s="25">
        <f t="shared" si="53"/>
        <v>12168048</v>
      </c>
      <c r="J75" s="47"/>
      <c r="K75" s="24">
        <f>25000000-12168048</f>
        <v>12831952</v>
      </c>
      <c r="L75" s="49"/>
      <c r="M75" s="49"/>
      <c r="N75" s="49"/>
      <c r="O75" s="49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9"/>
      <c r="AA75" s="24"/>
      <c r="AB75" s="24"/>
      <c r="AC75" s="24"/>
      <c r="AD75" s="24"/>
      <c r="AE75" s="24"/>
      <c r="AF75" s="24">
        <v>0</v>
      </c>
      <c r="AG75" s="27">
        <f t="shared" si="58"/>
        <v>1</v>
      </c>
      <c r="AH75" s="24">
        <f t="shared" si="44"/>
        <v>12831952</v>
      </c>
      <c r="AI75" s="24"/>
      <c r="AJ75" s="24">
        <f>+[4]JULIO!$K$3528</f>
        <v>12831952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f t="shared" si="61"/>
        <v>0</v>
      </c>
      <c r="BG75" s="24">
        <f t="shared" si="45"/>
        <v>0</v>
      </c>
      <c r="BH75" s="24">
        <f t="shared" si="56"/>
        <v>0</v>
      </c>
      <c r="BI75" s="24">
        <f t="shared" si="56"/>
        <v>0</v>
      </c>
      <c r="BJ75" s="24">
        <f t="shared" si="56"/>
        <v>0</v>
      </c>
      <c r="BK75" s="24">
        <f t="shared" si="56"/>
        <v>0</v>
      </c>
      <c r="BL75" s="24">
        <f t="shared" si="56"/>
        <v>0</v>
      </c>
      <c r="BM75" s="24">
        <f t="shared" si="56"/>
        <v>0</v>
      </c>
      <c r="BN75" s="24">
        <f t="shared" si="56"/>
        <v>0</v>
      </c>
      <c r="BO75" s="24">
        <f t="shared" si="56"/>
        <v>0</v>
      </c>
      <c r="BP75" s="24">
        <f t="shared" si="56"/>
        <v>0</v>
      </c>
      <c r="BQ75" s="24">
        <f t="shared" si="56"/>
        <v>0</v>
      </c>
      <c r="BR75" s="24">
        <f t="shared" si="56"/>
        <v>0</v>
      </c>
      <c r="BS75" s="24">
        <f t="shared" si="56"/>
        <v>0</v>
      </c>
      <c r="BT75" s="24">
        <f t="shared" si="56"/>
        <v>0</v>
      </c>
      <c r="BU75" s="24">
        <f t="shared" si="56"/>
        <v>0</v>
      </c>
      <c r="BV75" s="24">
        <f t="shared" si="56"/>
        <v>0</v>
      </c>
      <c r="BW75" s="24">
        <f t="shared" si="54"/>
        <v>0</v>
      </c>
      <c r="BX75" s="24">
        <f t="shared" si="47"/>
        <v>0</v>
      </c>
      <c r="BY75" s="24">
        <f t="shared" si="47"/>
        <v>0</v>
      </c>
      <c r="BZ75" s="24">
        <f t="shared" si="47"/>
        <v>0</v>
      </c>
      <c r="CA75" s="24">
        <f t="shared" si="47"/>
        <v>0</v>
      </c>
      <c r="CB75" s="24">
        <f t="shared" si="47"/>
        <v>0</v>
      </c>
      <c r="CC75" s="24">
        <f t="shared" si="47"/>
        <v>0</v>
      </c>
      <c r="CD75" s="24">
        <f t="shared" si="47"/>
        <v>0</v>
      </c>
      <c r="CE75" s="27">
        <f t="shared" si="48"/>
        <v>0.10648029232029546</v>
      </c>
      <c r="CF75" s="24">
        <f t="shared" si="49"/>
        <v>1366350</v>
      </c>
      <c r="CG75" s="24"/>
      <c r="CH75" s="24">
        <f>+'[6]MARZO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9"/>
        <v>0.89351970767970457</v>
      </c>
      <c r="DE75" s="24">
        <f t="shared" si="50"/>
        <v>11465602</v>
      </c>
      <c r="DF75" s="24">
        <f t="shared" si="57"/>
        <v>0</v>
      </c>
      <c r="DG75" s="24">
        <f t="shared" si="57"/>
        <v>11465602</v>
      </c>
      <c r="DH75" s="24">
        <f t="shared" si="57"/>
        <v>0</v>
      </c>
      <c r="DI75" s="24">
        <f t="shared" si="57"/>
        <v>0</v>
      </c>
      <c r="DJ75" s="24">
        <f t="shared" si="57"/>
        <v>0</v>
      </c>
      <c r="DK75" s="24">
        <f t="shared" si="57"/>
        <v>0</v>
      </c>
      <c r="DL75" s="24">
        <f t="shared" si="57"/>
        <v>0</v>
      </c>
      <c r="DM75" s="24">
        <f t="shared" si="57"/>
        <v>0</v>
      </c>
      <c r="DN75" s="24">
        <f t="shared" si="57"/>
        <v>0</v>
      </c>
      <c r="DO75" s="24">
        <f t="shared" si="57"/>
        <v>0</v>
      </c>
      <c r="DP75" s="24">
        <f t="shared" si="57"/>
        <v>0</v>
      </c>
      <c r="DQ75" s="24">
        <f t="shared" si="57"/>
        <v>0</v>
      </c>
      <c r="DR75" s="24">
        <f t="shared" si="57"/>
        <v>0</v>
      </c>
      <c r="DS75" s="24">
        <f t="shared" si="57"/>
        <v>0</v>
      </c>
      <c r="DT75" s="24">
        <f t="shared" si="57"/>
        <v>0</v>
      </c>
      <c r="DU75" s="24">
        <f t="shared" si="55"/>
        <v>0</v>
      </c>
      <c r="DV75" s="24">
        <f t="shared" si="52"/>
        <v>0</v>
      </c>
      <c r="DW75" s="24">
        <f t="shared" si="52"/>
        <v>0</v>
      </c>
      <c r="DX75" s="24">
        <f t="shared" si="52"/>
        <v>0</v>
      </c>
      <c r="DY75" s="24">
        <f t="shared" si="52"/>
        <v>0</v>
      </c>
      <c r="DZ75" s="24">
        <f t="shared" si="52"/>
        <v>0</v>
      </c>
      <c r="EA75" s="24">
        <f t="shared" si="52"/>
        <v>0</v>
      </c>
      <c r="EB75" s="24">
        <f t="shared" si="52"/>
        <v>0</v>
      </c>
      <c r="ED75" s="31">
        <f t="shared" si="60"/>
        <v>12831952</v>
      </c>
      <c r="EE75" s="31">
        <f t="shared" si="62"/>
        <v>12831952</v>
      </c>
      <c r="EF75" s="31">
        <f t="shared" si="63"/>
        <v>12831952</v>
      </c>
    </row>
    <row r="76" spans="1:136" ht="24.75" customHeight="1" x14ac:dyDescent="0.25">
      <c r="A76" s="233"/>
      <c r="B76" s="65" t="s">
        <v>232</v>
      </c>
      <c r="C76" s="34" t="s">
        <v>233</v>
      </c>
      <c r="D76" s="65" t="s">
        <v>234</v>
      </c>
      <c r="E76" s="22">
        <v>520</v>
      </c>
      <c r="F76" s="23" t="s">
        <v>117</v>
      </c>
      <c r="G76" s="24">
        <f t="shared" si="43"/>
        <v>91305332</v>
      </c>
      <c r="H76" s="25">
        <f>+[13]SP!$F$80</f>
        <v>173643500</v>
      </c>
      <c r="I76" s="25">
        <f t="shared" si="53"/>
        <v>82338168</v>
      </c>
      <c r="J76" s="47"/>
      <c r="K76" s="24">
        <f>100000000-8694668</f>
        <v>91305332</v>
      </c>
      <c r="L76" s="49"/>
      <c r="M76" s="49"/>
      <c r="N76" s="66"/>
      <c r="O76" s="49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9"/>
      <c r="AA76" s="24"/>
      <c r="AB76" s="24"/>
      <c r="AC76" s="47"/>
      <c r="AD76" s="47"/>
      <c r="AE76" s="47"/>
      <c r="AF76" s="24">
        <v>0</v>
      </c>
      <c r="AG76" s="27">
        <f t="shared" si="58"/>
        <v>1</v>
      </c>
      <c r="AH76" s="24">
        <f t="shared" si="44"/>
        <v>91305332</v>
      </c>
      <c r="AI76" s="24"/>
      <c r="AJ76" s="24">
        <f>+[4]JULIO!$K$3538</f>
        <v>91305332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>
        <f t="shared" si="61"/>
        <v>0</v>
      </c>
      <c r="BG76" s="24">
        <f t="shared" si="45"/>
        <v>0</v>
      </c>
      <c r="BH76" s="24">
        <f t="shared" si="56"/>
        <v>0</v>
      </c>
      <c r="BI76" s="24">
        <f t="shared" si="56"/>
        <v>0</v>
      </c>
      <c r="BJ76" s="24">
        <f t="shared" si="56"/>
        <v>0</v>
      </c>
      <c r="BK76" s="24">
        <f t="shared" si="56"/>
        <v>0</v>
      </c>
      <c r="BL76" s="24">
        <f t="shared" si="56"/>
        <v>0</v>
      </c>
      <c r="BM76" s="24">
        <f t="shared" si="56"/>
        <v>0</v>
      </c>
      <c r="BN76" s="24">
        <f t="shared" si="56"/>
        <v>0</v>
      </c>
      <c r="BO76" s="24">
        <f t="shared" si="56"/>
        <v>0</v>
      </c>
      <c r="BP76" s="24">
        <f t="shared" si="56"/>
        <v>0</v>
      </c>
      <c r="BQ76" s="24">
        <f t="shared" si="56"/>
        <v>0</v>
      </c>
      <c r="BR76" s="24">
        <f t="shared" si="56"/>
        <v>0</v>
      </c>
      <c r="BS76" s="24">
        <f t="shared" si="56"/>
        <v>0</v>
      </c>
      <c r="BT76" s="24">
        <f t="shared" si="56"/>
        <v>0</v>
      </c>
      <c r="BU76" s="24">
        <f t="shared" si="56"/>
        <v>0</v>
      </c>
      <c r="BV76" s="24">
        <f t="shared" si="56"/>
        <v>0</v>
      </c>
      <c r="BW76" s="24">
        <f t="shared" si="54"/>
        <v>0</v>
      </c>
      <c r="BX76" s="24">
        <f t="shared" si="47"/>
        <v>0</v>
      </c>
      <c r="BY76" s="24">
        <f t="shared" si="47"/>
        <v>0</v>
      </c>
      <c r="BZ76" s="24">
        <f t="shared" si="47"/>
        <v>0</v>
      </c>
      <c r="CA76" s="24">
        <f t="shared" si="47"/>
        <v>0</v>
      </c>
      <c r="CB76" s="24">
        <f t="shared" si="47"/>
        <v>0</v>
      </c>
      <c r="CC76" s="24">
        <f t="shared" si="47"/>
        <v>0</v>
      </c>
      <c r="CD76" s="24">
        <f t="shared" si="47"/>
        <v>0</v>
      </c>
      <c r="CE76" s="27">
        <f t="shared" si="48"/>
        <v>1</v>
      </c>
      <c r="CF76" s="24">
        <f t="shared" si="49"/>
        <v>91305332</v>
      </c>
      <c r="CG76" s="24"/>
      <c r="CH76" s="24">
        <f>+[4]JULIO!$H$3536</f>
        <v>91305332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>
        <f t="shared" si="59"/>
        <v>0</v>
      </c>
      <c r="DE76" s="24">
        <f t="shared" si="50"/>
        <v>0</v>
      </c>
      <c r="DF76" s="24">
        <f t="shared" si="57"/>
        <v>0</v>
      </c>
      <c r="DG76" s="24">
        <f t="shared" si="57"/>
        <v>0</v>
      </c>
      <c r="DH76" s="24">
        <f t="shared" si="57"/>
        <v>0</v>
      </c>
      <c r="DI76" s="24">
        <f t="shared" si="57"/>
        <v>0</v>
      </c>
      <c r="DJ76" s="24">
        <f t="shared" si="57"/>
        <v>0</v>
      </c>
      <c r="DK76" s="24">
        <f t="shared" si="57"/>
        <v>0</v>
      </c>
      <c r="DL76" s="24">
        <f t="shared" si="57"/>
        <v>0</v>
      </c>
      <c r="DM76" s="24">
        <f t="shared" si="57"/>
        <v>0</v>
      </c>
      <c r="DN76" s="24">
        <f t="shared" si="57"/>
        <v>0</v>
      </c>
      <c r="DO76" s="24">
        <f t="shared" si="57"/>
        <v>0</v>
      </c>
      <c r="DP76" s="24">
        <f t="shared" si="57"/>
        <v>0</v>
      </c>
      <c r="DQ76" s="24">
        <f t="shared" si="57"/>
        <v>0</v>
      </c>
      <c r="DR76" s="24">
        <f t="shared" si="57"/>
        <v>0</v>
      </c>
      <c r="DS76" s="24">
        <f t="shared" si="57"/>
        <v>0</v>
      </c>
      <c r="DT76" s="24">
        <f t="shared" si="57"/>
        <v>0</v>
      </c>
      <c r="DU76" s="24">
        <f t="shared" si="55"/>
        <v>0</v>
      </c>
      <c r="DV76" s="24">
        <f t="shared" si="52"/>
        <v>0</v>
      </c>
      <c r="DW76" s="24">
        <f t="shared" si="52"/>
        <v>0</v>
      </c>
      <c r="DX76" s="24">
        <f t="shared" si="52"/>
        <v>0</v>
      </c>
      <c r="DY76" s="24">
        <f t="shared" si="52"/>
        <v>0</v>
      </c>
      <c r="DZ76" s="24">
        <f t="shared" si="52"/>
        <v>0</v>
      </c>
      <c r="EA76" s="24">
        <f t="shared" si="52"/>
        <v>0</v>
      </c>
      <c r="EB76" s="24">
        <f t="shared" si="52"/>
        <v>0</v>
      </c>
      <c r="ED76" s="31">
        <f t="shared" si="60"/>
        <v>91305332</v>
      </c>
      <c r="EE76" s="31">
        <f t="shared" si="62"/>
        <v>91305332</v>
      </c>
      <c r="EF76" s="31">
        <f t="shared" si="63"/>
        <v>91305332</v>
      </c>
    </row>
    <row r="77" spans="1:136" s="44" customFormat="1" ht="16.899999999999999" customHeight="1" thickBot="1" x14ac:dyDescent="0.3">
      <c r="A77" s="67"/>
      <c r="B77" s="235" t="s">
        <v>235</v>
      </c>
      <c r="C77" s="236"/>
      <c r="D77" s="236"/>
      <c r="E77" s="236"/>
      <c r="F77" s="237"/>
      <c r="G77" s="58">
        <f t="shared" ref="G77:AF77" si="64">SUM(G51:G76)</f>
        <v>4184492718</v>
      </c>
      <c r="H77" s="68">
        <f t="shared" si="64"/>
        <v>6638028500</v>
      </c>
      <c r="I77" s="68">
        <f t="shared" si="64"/>
        <v>2453535782</v>
      </c>
      <c r="J77" s="58">
        <f t="shared" si="64"/>
        <v>0</v>
      </c>
      <c r="K77" s="58">
        <f t="shared" si="64"/>
        <v>1164848967</v>
      </c>
      <c r="L77" s="58">
        <f t="shared" si="64"/>
        <v>0</v>
      </c>
      <c r="M77" s="58">
        <f t="shared" si="64"/>
        <v>0</v>
      </c>
      <c r="N77" s="58">
        <f t="shared" si="64"/>
        <v>0</v>
      </c>
      <c r="O77" s="58">
        <f t="shared" si="64"/>
        <v>0</v>
      </c>
      <c r="P77" s="58">
        <f t="shared" si="64"/>
        <v>0</v>
      </c>
      <c r="Q77" s="58">
        <f t="shared" si="64"/>
        <v>0</v>
      </c>
      <c r="R77" s="58">
        <f t="shared" si="64"/>
        <v>0</v>
      </c>
      <c r="S77" s="58">
        <f t="shared" si="64"/>
        <v>0</v>
      </c>
      <c r="T77" s="58">
        <f t="shared" si="64"/>
        <v>0</v>
      </c>
      <c r="U77" s="58">
        <f t="shared" si="64"/>
        <v>0</v>
      </c>
      <c r="V77" s="58">
        <f t="shared" si="64"/>
        <v>0</v>
      </c>
      <c r="W77" s="58">
        <f t="shared" si="64"/>
        <v>0</v>
      </c>
      <c r="X77" s="58">
        <f t="shared" si="64"/>
        <v>0</v>
      </c>
      <c r="Y77" s="58">
        <f t="shared" si="64"/>
        <v>1500000000</v>
      </c>
      <c r="Z77" s="58">
        <f t="shared" si="64"/>
        <v>0</v>
      </c>
      <c r="AA77" s="58">
        <f t="shared" si="64"/>
        <v>369395921</v>
      </c>
      <c r="AB77" s="58">
        <f t="shared" si="64"/>
        <v>283957637</v>
      </c>
      <c r="AC77" s="58">
        <f t="shared" si="64"/>
        <v>0</v>
      </c>
      <c r="AD77" s="58">
        <f t="shared" si="64"/>
        <v>0</v>
      </c>
      <c r="AE77" s="58">
        <f t="shared" si="64"/>
        <v>0</v>
      </c>
      <c r="AF77" s="58">
        <f t="shared" si="64"/>
        <v>866290193</v>
      </c>
      <c r="AG77" s="59">
        <f t="shared" si="58"/>
        <v>0.68401742287367029</v>
      </c>
      <c r="AH77" s="58">
        <f>SUM(AH51:AH76)</f>
        <v>2862265925</v>
      </c>
      <c r="AI77" s="58">
        <f>SUM(AI51:AI76)</f>
        <v>0</v>
      </c>
      <c r="AJ77" s="58">
        <f>SUM(AJ51:AJ76)</f>
        <v>1090039942</v>
      </c>
      <c r="AK77" s="58">
        <f>SUM(AK51:AK76)</f>
        <v>0</v>
      </c>
      <c r="AL77" s="58"/>
      <c r="AM77" s="58">
        <f t="shared" ref="AM77:BE77" si="65">SUM(AM51:AM76)</f>
        <v>0</v>
      </c>
      <c r="AN77" s="58">
        <f t="shared" si="65"/>
        <v>0</v>
      </c>
      <c r="AO77" s="58">
        <f t="shared" si="65"/>
        <v>0</v>
      </c>
      <c r="AP77" s="58">
        <f t="shared" si="65"/>
        <v>0</v>
      </c>
      <c r="AQ77" s="58">
        <f t="shared" si="65"/>
        <v>0</v>
      </c>
      <c r="AR77" s="58">
        <f t="shared" si="65"/>
        <v>0</v>
      </c>
      <c r="AS77" s="58">
        <f t="shared" si="65"/>
        <v>0</v>
      </c>
      <c r="AT77" s="58">
        <f t="shared" si="65"/>
        <v>0</v>
      </c>
      <c r="AU77" s="58">
        <f t="shared" si="65"/>
        <v>0</v>
      </c>
      <c r="AV77" s="58">
        <f t="shared" si="65"/>
        <v>0</v>
      </c>
      <c r="AW77" s="58">
        <f t="shared" si="65"/>
        <v>0</v>
      </c>
      <c r="AX77" s="58">
        <f t="shared" si="65"/>
        <v>405014429</v>
      </c>
      <c r="AY77" s="58">
        <f t="shared" si="65"/>
        <v>0</v>
      </c>
      <c r="AZ77" s="58">
        <f t="shared" si="65"/>
        <v>342471444</v>
      </c>
      <c r="BA77" s="58">
        <f t="shared" si="65"/>
        <v>277047545</v>
      </c>
      <c r="BB77" s="58">
        <f t="shared" si="65"/>
        <v>0</v>
      </c>
      <c r="BC77" s="58">
        <f t="shared" si="65"/>
        <v>0</v>
      </c>
      <c r="BD77" s="58">
        <f t="shared" si="65"/>
        <v>0</v>
      </c>
      <c r="BE77" s="58">
        <f t="shared" si="65"/>
        <v>747692565</v>
      </c>
      <c r="BF77" s="59">
        <f t="shared" si="61"/>
        <v>0.31598257712632971</v>
      </c>
      <c r="BG77" s="58">
        <f t="shared" ref="BG77:CD77" si="66">SUM(BG51:BG76)</f>
        <v>1322226793</v>
      </c>
      <c r="BH77" s="58">
        <f t="shared" si="66"/>
        <v>0</v>
      </c>
      <c r="BI77" s="58">
        <f t="shared" si="66"/>
        <v>74809025</v>
      </c>
      <c r="BJ77" s="58">
        <f t="shared" si="66"/>
        <v>0</v>
      </c>
      <c r="BK77" s="58">
        <f t="shared" si="66"/>
        <v>0</v>
      </c>
      <c r="BL77" s="58">
        <f t="shared" si="66"/>
        <v>0</v>
      </c>
      <c r="BM77" s="58">
        <f t="shared" si="66"/>
        <v>0</v>
      </c>
      <c r="BN77" s="58">
        <f t="shared" si="66"/>
        <v>0</v>
      </c>
      <c r="BO77" s="58">
        <f t="shared" si="66"/>
        <v>0</v>
      </c>
      <c r="BP77" s="58">
        <f t="shared" si="66"/>
        <v>0</v>
      </c>
      <c r="BQ77" s="58">
        <f t="shared" si="66"/>
        <v>0</v>
      </c>
      <c r="BR77" s="58">
        <f t="shared" si="66"/>
        <v>0</v>
      </c>
      <c r="BS77" s="58">
        <f t="shared" si="66"/>
        <v>0</v>
      </c>
      <c r="BT77" s="58">
        <f t="shared" si="66"/>
        <v>0</v>
      </c>
      <c r="BU77" s="58">
        <f t="shared" si="66"/>
        <v>0</v>
      </c>
      <c r="BV77" s="58">
        <f t="shared" si="66"/>
        <v>0</v>
      </c>
      <c r="BW77" s="58">
        <f t="shared" si="66"/>
        <v>1094985571</v>
      </c>
      <c r="BX77" s="58">
        <f t="shared" si="66"/>
        <v>0</v>
      </c>
      <c r="BY77" s="58">
        <f t="shared" si="66"/>
        <v>26924477</v>
      </c>
      <c r="BZ77" s="58">
        <f t="shared" si="66"/>
        <v>6910092</v>
      </c>
      <c r="CA77" s="58">
        <f t="shared" si="66"/>
        <v>0</v>
      </c>
      <c r="CB77" s="58">
        <f t="shared" si="66"/>
        <v>0</v>
      </c>
      <c r="CC77" s="58">
        <f t="shared" si="66"/>
        <v>0</v>
      </c>
      <c r="CD77" s="58">
        <f t="shared" si="66"/>
        <v>118597628</v>
      </c>
      <c r="CE77" s="69">
        <f t="shared" si="48"/>
        <v>0.50298706099934953</v>
      </c>
      <c r="CF77" s="58">
        <f>SUM(CF51:CF76)</f>
        <v>2104745694</v>
      </c>
      <c r="CG77" s="58">
        <f>SUM(CG51:CG76)</f>
        <v>0</v>
      </c>
      <c r="CH77" s="58">
        <f>SUM(CH51:CH76)</f>
        <v>925327729</v>
      </c>
      <c r="CI77" s="58">
        <f>SUM(CI51:CI76)</f>
        <v>0</v>
      </c>
      <c r="CJ77" s="58"/>
      <c r="CK77" s="58">
        <f t="shared" ref="CK77:DC77" si="67">SUM(CK51:CK76)</f>
        <v>0</v>
      </c>
      <c r="CL77" s="58">
        <f t="shared" si="67"/>
        <v>0</v>
      </c>
      <c r="CM77" s="58">
        <f t="shared" si="67"/>
        <v>0</v>
      </c>
      <c r="CN77" s="58">
        <f t="shared" si="67"/>
        <v>0</v>
      </c>
      <c r="CO77" s="58">
        <f t="shared" si="67"/>
        <v>0</v>
      </c>
      <c r="CP77" s="58">
        <f t="shared" si="67"/>
        <v>0</v>
      </c>
      <c r="CQ77" s="58">
        <f t="shared" si="67"/>
        <v>0</v>
      </c>
      <c r="CR77" s="58">
        <f t="shared" si="67"/>
        <v>0</v>
      </c>
      <c r="CS77" s="58">
        <f t="shared" si="67"/>
        <v>0</v>
      </c>
      <c r="CT77" s="58">
        <f t="shared" si="67"/>
        <v>0</v>
      </c>
      <c r="CU77" s="58">
        <f t="shared" si="67"/>
        <v>0</v>
      </c>
      <c r="CV77" s="58">
        <f t="shared" si="67"/>
        <v>183323761</v>
      </c>
      <c r="CW77" s="58">
        <f t="shared" si="67"/>
        <v>0</v>
      </c>
      <c r="CX77" s="58">
        <f t="shared" si="67"/>
        <v>217430765</v>
      </c>
      <c r="CY77" s="58">
        <f t="shared" si="67"/>
        <v>171636319</v>
      </c>
      <c r="CZ77" s="58">
        <f t="shared" si="67"/>
        <v>0</v>
      </c>
      <c r="DA77" s="58">
        <f t="shared" si="67"/>
        <v>0</v>
      </c>
      <c r="DB77" s="58">
        <f t="shared" si="67"/>
        <v>0</v>
      </c>
      <c r="DC77" s="58">
        <f t="shared" si="67"/>
        <v>607027120</v>
      </c>
      <c r="DD77" s="59">
        <f t="shared" si="59"/>
        <v>0.49701293900065047</v>
      </c>
      <c r="DE77" s="70">
        <f t="shared" si="50"/>
        <v>2079747024</v>
      </c>
      <c r="DF77" s="58">
        <f t="shared" ref="DF77:EB77" si="68">SUM(DF51:DF76)</f>
        <v>0</v>
      </c>
      <c r="DG77" s="58">
        <f t="shared" si="68"/>
        <v>239521238</v>
      </c>
      <c r="DH77" s="58">
        <f t="shared" si="68"/>
        <v>0</v>
      </c>
      <c r="DI77" s="58">
        <f t="shared" si="68"/>
        <v>0</v>
      </c>
      <c r="DJ77" s="58">
        <f t="shared" si="68"/>
        <v>0</v>
      </c>
      <c r="DK77" s="58">
        <f t="shared" si="68"/>
        <v>0</v>
      </c>
      <c r="DL77" s="58">
        <f t="shared" si="68"/>
        <v>0</v>
      </c>
      <c r="DM77" s="58">
        <f t="shared" si="68"/>
        <v>0</v>
      </c>
      <c r="DN77" s="58">
        <f t="shared" si="68"/>
        <v>0</v>
      </c>
      <c r="DO77" s="58">
        <f t="shared" si="68"/>
        <v>0</v>
      </c>
      <c r="DP77" s="58">
        <f t="shared" si="68"/>
        <v>0</v>
      </c>
      <c r="DQ77" s="58">
        <f t="shared" si="68"/>
        <v>0</v>
      </c>
      <c r="DR77" s="58">
        <f t="shared" si="68"/>
        <v>0</v>
      </c>
      <c r="DS77" s="58">
        <f t="shared" si="68"/>
        <v>0</v>
      </c>
      <c r="DT77" s="58">
        <f t="shared" si="68"/>
        <v>0</v>
      </c>
      <c r="DU77" s="58">
        <f t="shared" si="68"/>
        <v>1316676239</v>
      </c>
      <c r="DV77" s="58">
        <f t="shared" si="68"/>
        <v>0</v>
      </c>
      <c r="DW77" s="58">
        <f t="shared" si="68"/>
        <v>151965156</v>
      </c>
      <c r="DX77" s="58">
        <f t="shared" si="68"/>
        <v>112321318</v>
      </c>
      <c r="DY77" s="58">
        <f t="shared" si="68"/>
        <v>0</v>
      </c>
      <c r="DZ77" s="58">
        <f t="shared" si="68"/>
        <v>0</v>
      </c>
      <c r="EA77" s="58">
        <f t="shared" si="68"/>
        <v>0</v>
      </c>
      <c r="EB77" s="58">
        <f t="shared" si="68"/>
        <v>259263073</v>
      </c>
      <c r="ED77" s="31">
        <f t="shared" si="60"/>
        <v>4184492718</v>
      </c>
      <c r="EE77" s="31">
        <f t="shared" si="62"/>
        <v>4184492718</v>
      </c>
      <c r="EF77" s="31">
        <f t="shared" si="63"/>
        <v>4184492718</v>
      </c>
    </row>
    <row r="78" spans="1:136" s="44" customFormat="1" ht="26.25" customHeight="1" thickTop="1" x14ac:dyDescent="0.25">
      <c r="A78" s="238" t="s">
        <v>236</v>
      </c>
      <c r="B78" s="234" t="s">
        <v>237</v>
      </c>
      <c r="C78" s="50" t="s">
        <v>238</v>
      </c>
      <c r="D78" s="35" t="s">
        <v>239</v>
      </c>
      <c r="E78" s="22">
        <v>301</v>
      </c>
      <c r="F78" s="23" t="s">
        <v>240</v>
      </c>
      <c r="G78" s="24">
        <f t="shared" ref="G78:G96" si="69">SUM(J78:AF78)</f>
        <v>75000000</v>
      </c>
      <c r="H78" s="25">
        <f>+'[14]SB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8">
        <f t="shared" si="58"/>
        <v>1</v>
      </c>
      <c r="AH78" s="24">
        <f t="shared" si="44"/>
        <v>75000000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+[4]JULIO!$Z$653</f>
        <v>75000000</v>
      </c>
      <c r="AZ78" s="24"/>
      <c r="BA78" s="24"/>
      <c r="BB78" s="24"/>
      <c r="BC78" s="24"/>
      <c r="BD78" s="24"/>
      <c r="BE78" s="24"/>
      <c r="BF78" s="27">
        <f t="shared" si="61"/>
        <v>0</v>
      </c>
      <c r="BG78" s="24">
        <f t="shared" ref="BG78:BG128" si="70">SUM(BH78:CD78)</f>
        <v>0</v>
      </c>
      <c r="BH78" s="24">
        <f t="shared" ref="BH78:BW93" si="71">+J78-AI78</f>
        <v>0</v>
      </c>
      <c r="BI78" s="24">
        <f t="shared" si="71"/>
        <v>0</v>
      </c>
      <c r="BJ78" s="24">
        <f t="shared" si="71"/>
        <v>0</v>
      </c>
      <c r="BK78" s="24">
        <f t="shared" si="71"/>
        <v>0</v>
      </c>
      <c r="BL78" s="24">
        <f t="shared" si="71"/>
        <v>0</v>
      </c>
      <c r="BM78" s="24">
        <f t="shared" si="71"/>
        <v>0</v>
      </c>
      <c r="BN78" s="24">
        <f t="shared" si="71"/>
        <v>0</v>
      </c>
      <c r="BO78" s="24">
        <f t="shared" si="71"/>
        <v>0</v>
      </c>
      <c r="BP78" s="24">
        <f t="shared" si="71"/>
        <v>0</v>
      </c>
      <c r="BQ78" s="24">
        <f t="shared" si="71"/>
        <v>0</v>
      </c>
      <c r="BR78" s="24">
        <f t="shared" si="71"/>
        <v>0</v>
      </c>
      <c r="BS78" s="24">
        <f t="shared" si="71"/>
        <v>0</v>
      </c>
      <c r="BT78" s="24">
        <f t="shared" si="71"/>
        <v>0</v>
      </c>
      <c r="BU78" s="24">
        <f t="shared" si="71"/>
        <v>0</v>
      </c>
      <c r="BV78" s="24">
        <f t="shared" si="71"/>
        <v>0</v>
      </c>
      <c r="BW78" s="24">
        <f t="shared" si="71"/>
        <v>0</v>
      </c>
      <c r="BX78" s="24">
        <f t="shared" ref="BX78:CD96" si="72">+Z78-AY78</f>
        <v>0</v>
      </c>
      <c r="BY78" s="24">
        <f t="shared" si="72"/>
        <v>0</v>
      </c>
      <c r="BZ78" s="24">
        <f t="shared" si="72"/>
        <v>0</v>
      </c>
      <c r="CA78" s="24">
        <f t="shared" si="72"/>
        <v>0</v>
      </c>
      <c r="CB78" s="24">
        <f t="shared" si="72"/>
        <v>0</v>
      </c>
      <c r="CC78" s="24">
        <f t="shared" si="72"/>
        <v>0</v>
      </c>
      <c r="CD78" s="24">
        <f t="shared" si="72"/>
        <v>0</v>
      </c>
      <c r="CE78" s="48">
        <f t="shared" si="48"/>
        <v>0.7614222266666667</v>
      </c>
      <c r="CF78" s="24">
        <f>SUM(CG78:DC78)</f>
        <v>57106667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+[4]JULIO!$H$651</f>
        <v>57106667</v>
      </c>
      <c r="CX78" s="24"/>
      <c r="CY78" s="24"/>
      <c r="CZ78" s="24"/>
      <c r="DA78" s="24"/>
      <c r="DB78" s="24"/>
      <c r="DC78" s="24"/>
      <c r="DD78" s="27">
        <f t="shared" si="59"/>
        <v>0.2385777733333333</v>
      </c>
      <c r="DE78" s="24">
        <f t="shared" si="50"/>
        <v>17893333</v>
      </c>
      <c r="DF78" s="24">
        <f t="shared" ref="DF78:DU93" si="73">+J78-CG78</f>
        <v>0</v>
      </c>
      <c r="DG78" s="24">
        <f t="shared" si="73"/>
        <v>0</v>
      </c>
      <c r="DH78" s="24">
        <f t="shared" si="73"/>
        <v>0</v>
      </c>
      <c r="DI78" s="24">
        <f t="shared" si="73"/>
        <v>0</v>
      </c>
      <c r="DJ78" s="24">
        <f t="shared" si="73"/>
        <v>0</v>
      </c>
      <c r="DK78" s="24">
        <f t="shared" si="73"/>
        <v>0</v>
      </c>
      <c r="DL78" s="24">
        <f t="shared" si="73"/>
        <v>0</v>
      </c>
      <c r="DM78" s="24">
        <f t="shared" si="73"/>
        <v>0</v>
      </c>
      <c r="DN78" s="24">
        <f t="shared" si="73"/>
        <v>0</v>
      </c>
      <c r="DO78" s="24">
        <f t="shared" si="73"/>
        <v>0</v>
      </c>
      <c r="DP78" s="24">
        <f t="shared" si="73"/>
        <v>0</v>
      </c>
      <c r="DQ78" s="24">
        <f t="shared" si="73"/>
        <v>0</v>
      </c>
      <c r="DR78" s="24">
        <f t="shared" si="73"/>
        <v>0</v>
      </c>
      <c r="DS78" s="24">
        <f t="shared" si="73"/>
        <v>0</v>
      </c>
      <c r="DT78" s="24">
        <f t="shared" si="73"/>
        <v>0</v>
      </c>
      <c r="DU78" s="24">
        <f t="shared" si="73"/>
        <v>0</v>
      </c>
      <c r="DV78" s="24">
        <f t="shared" ref="DV78:EB96" si="74">+Z78-CW78</f>
        <v>17893333</v>
      </c>
      <c r="DW78" s="24">
        <f t="shared" si="74"/>
        <v>0</v>
      </c>
      <c r="DX78" s="24">
        <f t="shared" si="74"/>
        <v>0</v>
      </c>
      <c r="DY78" s="24">
        <f t="shared" si="74"/>
        <v>0</v>
      </c>
      <c r="DZ78" s="24">
        <f t="shared" si="74"/>
        <v>0</v>
      </c>
      <c r="EA78" s="24">
        <f t="shared" si="74"/>
        <v>0</v>
      </c>
      <c r="EB78" s="24">
        <f t="shared" si="74"/>
        <v>0</v>
      </c>
      <c r="ED78" s="31">
        <f t="shared" si="60"/>
        <v>75000000</v>
      </c>
      <c r="EE78" s="31">
        <f t="shared" si="62"/>
        <v>75000000</v>
      </c>
      <c r="EF78" s="31">
        <f t="shared" si="63"/>
        <v>75000000</v>
      </c>
    </row>
    <row r="79" spans="1:136" s="44" customFormat="1" ht="21.75" customHeight="1" x14ac:dyDescent="0.25">
      <c r="A79" s="239"/>
      <c r="B79" s="231"/>
      <c r="C79" s="50" t="s">
        <v>241</v>
      </c>
      <c r="D79" s="35" t="s">
        <v>242</v>
      </c>
      <c r="E79" s="22">
        <v>301</v>
      </c>
      <c r="F79" s="23" t="s">
        <v>240</v>
      </c>
      <c r="G79" s="24">
        <f t="shared" si="69"/>
        <v>60000000</v>
      </c>
      <c r="H79" s="25">
        <f>+'[14]SB 2020 2024'!$F$6</f>
        <v>85000000</v>
      </c>
      <c r="I79" s="25">
        <f t="shared" ref="I79:I96" si="75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7">
        <f t="shared" si="58"/>
        <v>0.24566668333333333</v>
      </c>
      <c r="AH79" s="24">
        <f t="shared" si="44"/>
        <v>14740001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+[3]SEPTIEMBRE!$Z$796</f>
        <v>14740001</v>
      </c>
      <c r="AZ79" s="24"/>
      <c r="BA79" s="24"/>
      <c r="BB79" s="24"/>
      <c r="BC79" s="24"/>
      <c r="BD79" s="24"/>
      <c r="BE79" s="24"/>
      <c r="BF79" s="27">
        <f t="shared" si="61"/>
        <v>0.7543333166666667</v>
      </c>
      <c r="BG79" s="24">
        <f t="shared" si="70"/>
        <v>45259999</v>
      </c>
      <c r="BH79" s="24">
        <f t="shared" si="71"/>
        <v>0</v>
      </c>
      <c r="BI79" s="24">
        <f t="shared" si="71"/>
        <v>0</v>
      </c>
      <c r="BJ79" s="24">
        <f t="shared" si="71"/>
        <v>0</v>
      </c>
      <c r="BK79" s="24">
        <f t="shared" si="71"/>
        <v>0</v>
      </c>
      <c r="BL79" s="24">
        <f t="shared" si="71"/>
        <v>0</v>
      </c>
      <c r="BM79" s="24">
        <f t="shared" si="71"/>
        <v>0</v>
      </c>
      <c r="BN79" s="24">
        <f t="shared" si="71"/>
        <v>0</v>
      </c>
      <c r="BO79" s="24">
        <f t="shared" si="71"/>
        <v>0</v>
      </c>
      <c r="BP79" s="24">
        <f t="shared" si="71"/>
        <v>0</v>
      </c>
      <c r="BQ79" s="24">
        <f t="shared" si="71"/>
        <v>0</v>
      </c>
      <c r="BR79" s="24">
        <f t="shared" si="71"/>
        <v>0</v>
      </c>
      <c r="BS79" s="24">
        <f t="shared" si="71"/>
        <v>0</v>
      </c>
      <c r="BT79" s="24">
        <f t="shared" si="71"/>
        <v>0</v>
      </c>
      <c r="BU79" s="24">
        <f t="shared" si="71"/>
        <v>0</v>
      </c>
      <c r="BV79" s="24">
        <f t="shared" si="71"/>
        <v>0</v>
      </c>
      <c r="BW79" s="24">
        <f t="shared" si="71"/>
        <v>0</v>
      </c>
      <c r="BX79" s="24">
        <f t="shared" si="72"/>
        <v>45259999</v>
      </c>
      <c r="BY79" s="24">
        <f t="shared" si="72"/>
        <v>0</v>
      </c>
      <c r="BZ79" s="24">
        <f t="shared" si="72"/>
        <v>0</v>
      </c>
      <c r="CA79" s="24">
        <f t="shared" si="72"/>
        <v>0</v>
      </c>
      <c r="CB79" s="24">
        <f t="shared" si="72"/>
        <v>0</v>
      </c>
      <c r="CC79" s="24">
        <f t="shared" si="72"/>
        <v>0</v>
      </c>
      <c r="CD79" s="24">
        <f t="shared" si="72"/>
        <v>0</v>
      </c>
      <c r="CE79" s="27">
        <f t="shared" si="48"/>
        <v>0.24566668333333333</v>
      </c>
      <c r="CF79" s="24">
        <f t="shared" ref="CF79:CF96" si="76">SUM(CG79:DC79)</f>
        <v>14740001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+[4]JULIO!$H$666</f>
        <v>14740001</v>
      </c>
      <c r="CX79" s="24"/>
      <c r="CY79" s="24"/>
      <c r="CZ79" s="24"/>
      <c r="DA79" s="24"/>
      <c r="DB79" s="24"/>
      <c r="DC79" s="24"/>
      <c r="DD79" s="27">
        <f t="shared" si="59"/>
        <v>0.7543333166666667</v>
      </c>
      <c r="DE79" s="24">
        <f t="shared" si="50"/>
        <v>45259999</v>
      </c>
      <c r="DF79" s="24">
        <f t="shared" si="73"/>
        <v>0</v>
      </c>
      <c r="DG79" s="24">
        <f t="shared" si="73"/>
        <v>0</v>
      </c>
      <c r="DH79" s="24">
        <f t="shared" si="73"/>
        <v>0</v>
      </c>
      <c r="DI79" s="24">
        <f t="shared" si="73"/>
        <v>0</v>
      </c>
      <c r="DJ79" s="24">
        <f t="shared" si="73"/>
        <v>0</v>
      </c>
      <c r="DK79" s="24">
        <f t="shared" si="73"/>
        <v>0</v>
      </c>
      <c r="DL79" s="24">
        <f t="shared" si="73"/>
        <v>0</v>
      </c>
      <c r="DM79" s="24">
        <f t="shared" si="73"/>
        <v>0</v>
      </c>
      <c r="DN79" s="24">
        <f t="shared" si="73"/>
        <v>0</v>
      </c>
      <c r="DO79" s="24">
        <f t="shared" si="73"/>
        <v>0</v>
      </c>
      <c r="DP79" s="24">
        <f t="shared" si="73"/>
        <v>0</v>
      </c>
      <c r="DQ79" s="24">
        <f t="shared" si="73"/>
        <v>0</v>
      </c>
      <c r="DR79" s="24">
        <f t="shared" si="73"/>
        <v>0</v>
      </c>
      <c r="DS79" s="24">
        <f t="shared" si="73"/>
        <v>0</v>
      </c>
      <c r="DT79" s="24">
        <f t="shared" si="73"/>
        <v>0</v>
      </c>
      <c r="DU79" s="24">
        <f t="shared" si="73"/>
        <v>0</v>
      </c>
      <c r="DV79" s="24">
        <f t="shared" si="74"/>
        <v>45259999</v>
      </c>
      <c r="DW79" s="24">
        <f t="shared" si="74"/>
        <v>0</v>
      </c>
      <c r="DX79" s="24">
        <f t="shared" si="74"/>
        <v>0</v>
      </c>
      <c r="DY79" s="24">
        <f t="shared" si="74"/>
        <v>0</v>
      </c>
      <c r="DZ79" s="24">
        <f t="shared" si="74"/>
        <v>0</v>
      </c>
      <c r="EA79" s="24">
        <f t="shared" si="74"/>
        <v>0</v>
      </c>
      <c r="EB79" s="24">
        <f t="shared" si="74"/>
        <v>0</v>
      </c>
      <c r="ED79" s="31">
        <f t="shared" si="60"/>
        <v>60000000</v>
      </c>
      <c r="EE79" s="31">
        <f t="shared" si="62"/>
        <v>60000000</v>
      </c>
      <c r="EF79" s="31">
        <f t="shared" si="63"/>
        <v>60000000</v>
      </c>
    </row>
    <row r="80" spans="1:136" s="44" customFormat="1" ht="19.5" customHeight="1" x14ac:dyDescent="0.25">
      <c r="A80" s="239"/>
      <c r="B80" s="231"/>
      <c r="C80" s="50" t="s">
        <v>243</v>
      </c>
      <c r="D80" s="35" t="s">
        <v>244</v>
      </c>
      <c r="E80" s="22">
        <v>301</v>
      </c>
      <c r="F80" s="23" t="s">
        <v>240</v>
      </c>
      <c r="G80" s="24">
        <f t="shared" si="69"/>
        <v>60000000</v>
      </c>
      <c r="H80" s="25">
        <f>+'[14]SB 2020 2024'!$F$7</f>
        <v>100000000</v>
      </c>
      <c r="I80" s="25">
        <f t="shared" si="75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7">
        <f t="shared" si="58"/>
        <v>0.93500000000000005</v>
      </c>
      <c r="AH80" s="24">
        <f t="shared" si="44"/>
        <v>56100000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+[3]SEPTIEMBRE!$Z$807</f>
        <v>56100000</v>
      </c>
      <c r="AZ80" s="24"/>
      <c r="BA80" s="24"/>
      <c r="BB80" s="24"/>
      <c r="BC80" s="24"/>
      <c r="BD80" s="24"/>
      <c r="BE80" s="24"/>
      <c r="BF80" s="27">
        <f t="shared" si="61"/>
        <v>6.4999999999999947E-2</v>
      </c>
      <c r="BG80" s="24">
        <f t="shared" si="70"/>
        <v>3900000</v>
      </c>
      <c r="BH80" s="24">
        <f t="shared" si="71"/>
        <v>0</v>
      </c>
      <c r="BI80" s="24">
        <f t="shared" si="71"/>
        <v>0</v>
      </c>
      <c r="BJ80" s="24">
        <f t="shared" si="71"/>
        <v>0</v>
      </c>
      <c r="BK80" s="24">
        <f t="shared" si="71"/>
        <v>0</v>
      </c>
      <c r="BL80" s="24">
        <f t="shared" si="71"/>
        <v>0</v>
      </c>
      <c r="BM80" s="24">
        <f t="shared" si="71"/>
        <v>0</v>
      </c>
      <c r="BN80" s="24">
        <f t="shared" si="71"/>
        <v>0</v>
      </c>
      <c r="BO80" s="24">
        <f t="shared" si="71"/>
        <v>0</v>
      </c>
      <c r="BP80" s="24">
        <f t="shared" si="71"/>
        <v>0</v>
      </c>
      <c r="BQ80" s="24">
        <f t="shared" si="71"/>
        <v>0</v>
      </c>
      <c r="BR80" s="24">
        <f t="shared" si="71"/>
        <v>0</v>
      </c>
      <c r="BS80" s="24">
        <f t="shared" si="71"/>
        <v>0</v>
      </c>
      <c r="BT80" s="24">
        <f t="shared" si="71"/>
        <v>0</v>
      </c>
      <c r="BU80" s="24">
        <f t="shared" si="71"/>
        <v>0</v>
      </c>
      <c r="BV80" s="24">
        <f t="shared" si="71"/>
        <v>0</v>
      </c>
      <c r="BW80" s="24">
        <f t="shared" si="71"/>
        <v>0</v>
      </c>
      <c r="BX80" s="24">
        <f t="shared" si="72"/>
        <v>3900000</v>
      </c>
      <c r="BY80" s="24">
        <f t="shared" si="72"/>
        <v>0</v>
      </c>
      <c r="BZ80" s="24">
        <f t="shared" si="72"/>
        <v>0</v>
      </c>
      <c r="CA80" s="24">
        <f t="shared" si="72"/>
        <v>0</v>
      </c>
      <c r="CB80" s="24">
        <f t="shared" si="72"/>
        <v>0</v>
      </c>
      <c r="CC80" s="24">
        <f t="shared" si="72"/>
        <v>0</v>
      </c>
      <c r="CD80" s="24">
        <f t="shared" si="72"/>
        <v>0</v>
      </c>
      <c r="CE80" s="27">
        <f t="shared" si="48"/>
        <v>0.93500000000000005</v>
      </c>
      <c r="CF80" s="24">
        <f t="shared" si="76"/>
        <v>56100000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+[4]JULIO!$H$677</f>
        <v>56100000</v>
      </c>
      <c r="CX80" s="24"/>
      <c r="CY80" s="24"/>
      <c r="CZ80" s="24"/>
      <c r="DA80" s="24"/>
      <c r="DB80" s="24"/>
      <c r="DC80" s="24"/>
      <c r="DD80" s="27">
        <f t="shared" si="59"/>
        <v>6.4999999999999947E-2</v>
      </c>
      <c r="DE80" s="24">
        <f t="shared" si="50"/>
        <v>3900000</v>
      </c>
      <c r="DF80" s="24">
        <f t="shared" si="73"/>
        <v>0</v>
      </c>
      <c r="DG80" s="24">
        <f t="shared" si="73"/>
        <v>0</v>
      </c>
      <c r="DH80" s="24">
        <f t="shared" si="73"/>
        <v>0</v>
      </c>
      <c r="DI80" s="24">
        <f t="shared" si="73"/>
        <v>0</v>
      </c>
      <c r="DJ80" s="24">
        <f t="shared" si="73"/>
        <v>0</v>
      </c>
      <c r="DK80" s="24">
        <f t="shared" si="73"/>
        <v>0</v>
      </c>
      <c r="DL80" s="24">
        <f t="shared" si="73"/>
        <v>0</v>
      </c>
      <c r="DM80" s="24">
        <f t="shared" si="73"/>
        <v>0</v>
      </c>
      <c r="DN80" s="24">
        <f t="shared" si="73"/>
        <v>0</v>
      </c>
      <c r="DO80" s="24">
        <f t="shared" si="73"/>
        <v>0</v>
      </c>
      <c r="DP80" s="24">
        <f t="shared" si="73"/>
        <v>0</v>
      </c>
      <c r="DQ80" s="24">
        <f t="shared" si="73"/>
        <v>0</v>
      </c>
      <c r="DR80" s="24">
        <f t="shared" si="73"/>
        <v>0</v>
      </c>
      <c r="DS80" s="24">
        <f t="shared" si="73"/>
        <v>0</v>
      </c>
      <c r="DT80" s="24">
        <f t="shared" si="73"/>
        <v>0</v>
      </c>
      <c r="DU80" s="24">
        <f t="shared" si="73"/>
        <v>0</v>
      </c>
      <c r="DV80" s="24">
        <f t="shared" si="74"/>
        <v>3900000</v>
      </c>
      <c r="DW80" s="24">
        <f t="shared" si="74"/>
        <v>0</v>
      </c>
      <c r="DX80" s="24">
        <f t="shared" si="74"/>
        <v>0</v>
      </c>
      <c r="DY80" s="24">
        <f t="shared" si="74"/>
        <v>0</v>
      </c>
      <c r="DZ80" s="24">
        <f t="shared" si="74"/>
        <v>0</v>
      </c>
      <c r="EA80" s="24">
        <f t="shared" si="74"/>
        <v>0</v>
      </c>
      <c r="EB80" s="24">
        <f t="shared" si="74"/>
        <v>0</v>
      </c>
      <c r="ED80" s="31">
        <f t="shared" si="60"/>
        <v>60000000</v>
      </c>
      <c r="EE80" s="31">
        <f t="shared" si="62"/>
        <v>60000000</v>
      </c>
      <c r="EF80" s="31">
        <f t="shared" si="63"/>
        <v>60000000</v>
      </c>
    </row>
    <row r="81" spans="1:136" s="44" customFormat="1" ht="21" customHeight="1" x14ac:dyDescent="0.25">
      <c r="A81" s="239"/>
      <c r="B81" s="231"/>
      <c r="C81" s="50" t="s">
        <v>245</v>
      </c>
      <c r="D81" s="35" t="s">
        <v>246</v>
      </c>
      <c r="E81" s="22">
        <v>301</v>
      </c>
      <c r="F81" s="23" t="s">
        <v>240</v>
      </c>
      <c r="G81" s="24">
        <f t="shared" si="69"/>
        <v>10000000</v>
      </c>
      <c r="H81" s="25">
        <f>+'[14]SB 2020 2024'!$F$8</f>
        <v>20000000</v>
      </c>
      <c r="I81" s="25">
        <f t="shared" si="75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7">
        <f t="shared" si="58"/>
        <v>0</v>
      </c>
      <c r="AH81" s="24">
        <f t="shared" si="44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7">
        <f t="shared" si="61"/>
        <v>1</v>
      </c>
      <c r="BG81" s="24">
        <f t="shared" si="70"/>
        <v>10000000</v>
      </c>
      <c r="BH81" s="24">
        <f t="shared" si="71"/>
        <v>0</v>
      </c>
      <c r="BI81" s="24">
        <f t="shared" si="71"/>
        <v>0</v>
      </c>
      <c r="BJ81" s="24">
        <f t="shared" si="71"/>
        <v>0</v>
      </c>
      <c r="BK81" s="24">
        <f t="shared" si="71"/>
        <v>0</v>
      </c>
      <c r="BL81" s="24">
        <f t="shared" si="71"/>
        <v>0</v>
      </c>
      <c r="BM81" s="24">
        <f t="shared" si="71"/>
        <v>0</v>
      </c>
      <c r="BN81" s="24">
        <f t="shared" si="71"/>
        <v>0</v>
      </c>
      <c r="BO81" s="24">
        <f t="shared" si="71"/>
        <v>0</v>
      </c>
      <c r="BP81" s="24">
        <f t="shared" si="71"/>
        <v>0</v>
      </c>
      <c r="BQ81" s="24">
        <f t="shared" si="71"/>
        <v>0</v>
      </c>
      <c r="BR81" s="24">
        <f t="shared" si="71"/>
        <v>0</v>
      </c>
      <c r="BS81" s="24">
        <f t="shared" si="71"/>
        <v>0</v>
      </c>
      <c r="BT81" s="24">
        <f t="shared" si="71"/>
        <v>0</v>
      </c>
      <c r="BU81" s="24">
        <f t="shared" si="71"/>
        <v>0</v>
      </c>
      <c r="BV81" s="24">
        <f t="shared" si="71"/>
        <v>0</v>
      </c>
      <c r="BW81" s="24">
        <f t="shared" si="71"/>
        <v>0</v>
      </c>
      <c r="BX81" s="24">
        <f t="shared" si="72"/>
        <v>10000000</v>
      </c>
      <c r="BY81" s="24">
        <f t="shared" si="72"/>
        <v>0</v>
      </c>
      <c r="BZ81" s="24">
        <f t="shared" si="72"/>
        <v>0</v>
      </c>
      <c r="CA81" s="24">
        <f t="shared" si="72"/>
        <v>0</v>
      </c>
      <c r="CB81" s="24">
        <f t="shared" si="72"/>
        <v>0</v>
      </c>
      <c r="CC81" s="24">
        <f t="shared" si="72"/>
        <v>0</v>
      </c>
      <c r="CD81" s="24">
        <f t="shared" si="72"/>
        <v>0</v>
      </c>
      <c r="CE81" s="27">
        <f t="shared" si="48"/>
        <v>0</v>
      </c>
      <c r="CF81" s="24">
        <f t="shared" si="76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7">
        <f t="shared" si="59"/>
        <v>1</v>
      </c>
      <c r="DE81" s="24">
        <f t="shared" si="50"/>
        <v>10000000</v>
      </c>
      <c r="DF81" s="24">
        <f t="shared" si="73"/>
        <v>0</v>
      </c>
      <c r="DG81" s="24">
        <f t="shared" si="73"/>
        <v>0</v>
      </c>
      <c r="DH81" s="24">
        <f t="shared" si="73"/>
        <v>0</v>
      </c>
      <c r="DI81" s="24">
        <f t="shared" si="73"/>
        <v>0</v>
      </c>
      <c r="DJ81" s="24">
        <f t="shared" si="73"/>
        <v>0</v>
      </c>
      <c r="DK81" s="24">
        <f t="shared" si="73"/>
        <v>0</v>
      </c>
      <c r="DL81" s="24">
        <f t="shared" si="73"/>
        <v>0</v>
      </c>
      <c r="DM81" s="24">
        <f t="shared" si="73"/>
        <v>0</v>
      </c>
      <c r="DN81" s="24">
        <f t="shared" si="73"/>
        <v>0</v>
      </c>
      <c r="DO81" s="24">
        <f t="shared" si="73"/>
        <v>0</v>
      </c>
      <c r="DP81" s="24">
        <f t="shared" si="73"/>
        <v>0</v>
      </c>
      <c r="DQ81" s="24">
        <f t="shared" si="73"/>
        <v>0</v>
      </c>
      <c r="DR81" s="24">
        <f t="shared" si="73"/>
        <v>0</v>
      </c>
      <c r="DS81" s="24">
        <f t="shared" si="73"/>
        <v>0</v>
      </c>
      <c r="DT81" s="24">
        <f t="shared" si="73"/>
        <v>0</v>
      </c>
      <c r="DU81" s="24">
        <f t="shared" si="73"/>
        <v>0</v>
      </c>
      <c r="DV81" s="24">
        <f t="shared" si="74"/>
        <v>10000000</v>
      </c>
      <c r="DW81" s="24">
        <f t="shared" si="74"/>
        <v>0</v>
      </c>
      <c r="DX81" s="24">
        <f t="shared" si="74"/>
        <v>0</v>
      </c>
      <c r="DY81" s="24">
        <f t="shared" si="74"/>
        <v>0</v>
      </c>
      <c r="DZ81" s="24">
        <f t="shared" si="74"/>
        <v>0</v>
      </c>
      <c r="EA81" s="24">
        <f t="shared" si="74"/>
        <v>0</v>
      </c>
      <c r="EB81" s="24">
        <f t="shared" si="74"/>
        <v>0</v>
      </c>
      <c r="ED81" s="31">
        <f t="shared" si="60"/>
        <v>10000000</v>
      </c>
      <c r="EE81" s="31">
        <f t="shared" si="62"/>
        <v>10000000</v>
      </c>
      <c r="EF81" s="31">
        <f t="shared" si="63"/>
        <v>10000000</v>
      </c>
    </row>
    <row r="82" spans="1:136" s="44" customFormat="1" ht="19.899999999999999" customHeight="1" x14ac:dyDescent="0.25">
      <c r="A82" s="239"/>
      <c r="B82" s="231"/>
      <c r="C82" s="50" t="s">
        <v>247</v>
      </c>
      <c r="D82" s="35" t="s">
        <v>248</v>
      </c>
      <c r="E82" s="22">
        <v>301</v>
      </c>
      <c r="F82" s="23" t="s">
        <v>240</v>
      </c>
      <c r="G82" s="24">
        <f t="shared" si="69"/>
        <v>10000000</v>
      </c>
      <c r="H82" s="25">
        <f>+'[14]SB 2020 2024'!$F$11</f>
        <v>17000000</v>
      </c>
      <c r="I82" s="25">
        <f t="shared" si="75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7">
        <f t="shared" si="58"/>
        <v>0</v>
      </c>
      <c r="AH82" s="24">
        <f t="shared" si="44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61"/>
        <v>1</v>
      </c>
      <c r="BG82" s="24">
        <f t="shared" si="70"/>
        <v>10000000</v>
      </c>
      <c r="BH82" s="24">
        <f t="shared" si="71"/>
        <v>0</v>
      </c>
      <c r="BI82" s="24">
        <f t="shared" si="71"/>
        <v>0</v>
      </c>
      <c r="BJ82" s="24">
        <f t="shared" si="71"/>
        <v>0</v>
      </c>
      <c r="BK82" s="24">
        <f t="shared" si="71"/>
        <v>0</v>
      </c>
      <c r="BL82" s="24">
        <f t="shared" si="71"/>
        <v>0</v>
      </c>
      <c r="BM82" s="24">
        <f t="shared" si="71"/>
        <v>0</v>
      </c>
      <c r="BN82" s="24">
        <f t="shared" si="71"/>
        <v>0</v>
      </c>
      <c r="BO82" s="24">
        <f t="shared" si="71"/>
        <v>0</v>
      </c>
      <c r="BP82" s="24">
        <f t="shared" si="71"/>
        <v>0</v>
      </c>
      <c r="BQ82" s="24">
        <f t="shared" si="71"/>
        <v>0</v>
      </c>
      <c r="BR82" s="24">
        <f t="shared" si="71"/>
        <v>0</v>
      </c>
      <c r="BS82" s="24">
        <f t="shared" si="71"/>
        <v>0</v>
      </c>
      <c r="BT82" s="24">
        <f t="shared" si="71"/>
        <v>0</v>
      </c>
      <c r="BU82" s="24">
        <f t="shared" si="71"/>
        <v>0</v>
      </c>
      <c r="BV82" s="24">
        <f t="shared" si="71"/>
        <v>0</v>
      </c>
      <c r="BW82" s="24">
        <f t="shared" si="71"/>
        <v>0</v>
      </c>
      <c r="BX82" s="24">
        <f t="shared" si="72"/>
        <v>10000000</v>
      </c>
      <c r="BY82" s="24">
        <f t="shared" si="72"/>
        <v>0</v>
      </c>
      <c r="BZ82" s="24">
        <f t="shared" si="72"/>
        <v>0</v>
      </c>
      <c r="CA82" s="24">
        <f t="shared" si="72"/>
        <v>0</v>
      </c>
      <c r="CB82" s="24">
        <f t="shared" si="72"/>
        <v>0</v>
      </c>
      <c r="CC82" s="24">
        <f t="shared" si="72"/>
        <v>0</v>
      </c>
      <c r="CD82" s="24">
        <f t="shared" si="72"/>
        <v>0</v>
      </c>
      <c r="CE82" s="27">
        <f t="shared" si="48"/>
        <v>0</v>
      </c>
      <c r="CF82" s="24">
        <f t="shared" si="76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9"/>
        <v>1</v>
      </c>
      <c r="DE82" s="24">
        <f t="shared" si="50"/>
        <v>10000000</v>
      </c>
      <c r="DF82" s="24">
        <f t="shared" si="73"/>
        <v>0</v>
      </c>
      <c r="DG82" s="24">
        <f t="shared" si="73"/>
        <v>0</v>
      </c>
      <c r="DH82" s="24">
        <f t="shared" si="73"/>
        <v>0</v>
      </c>
      <c r="DI82" s="24">
        <f t="shared" si="73"/>
        <v>0</v>
      </c>
      <c r="DJ82" s="24">
        <f t="shared" si="73"/>
        <v>0</v>
      </c>
      <c r="DK82" s="24">
        <f t="shared" si="73"/>
        <v>0</v>
      </c>
      <c r="DL82" s="24">
        <f t="shared" si="73"/>
        <v>0</v>
      </c>
      <c r="DM82" s="24">
        <f t="shared" si="73"/>
        <v>0</v>
      </c>
      <c r="DN82" s="24">
        <f t="shared" si="73"/>
        <v>0</v>
      </c>
      <c r="DO82" s="24">
        <f t="shared" si="73"/>
        <v>0</v>
      </c>
      <c r="DP82" s="24">
        <f t="shared" si="73"/>
        <v>0</v>
      </c>
      <c r="DQ82" s="24">
        <f t="shared" si="73"/>
        <v>0</v>
      </c>
      <c r="DR82" s="24">
        <f t="shared" si="73"/>
        <v>0</v>
      </c>
      <c r="DS82" s="24">
        <f t="shared" si="73"/>
        <v>0</v>
      </c>
      <c r="DT82" s="24">
        <f t="shared" si="73"/>
        <v>0</v>
      </c>
      <c r="DU82" s="24">
        <f t="shared" si="73"/>
        <v>0</v>
      </c>
      <c r="DV82" s="24">
        <f t="shared" si="74"/>
        <v>10000000</v>
      </c>
      <c r="DW82" s="24">
        <f t="shared" si="74"/>
        <v>0</v>
      </c>
      <c r="DX82" s="24">
        <f t="shared" si="74"/>
        <v>0</v>
      </c>
      <c r="DY82" s="24">
        <f t="shared" si="74"/>
        <v>0</v>
      </c>
      <c r="DZ82" s="24">
        <f t="shared" si="74"/>
        <v>0</v>
      </c>
      <c r="EA82" s="24">
        <f t="shared" si="74"/>
        <v>0</v>
      </c>
      <c r="EB82" s="24">
        <f t="shared" si="74"/>
        <v>0</v>
      </c>
      <c r="ED82" s="31">
        <f t="shared" si="60"/>
        <v>10000000</v>
      </c>
      <c r="EE82" s="31">
        <f t="shared" si="62"/>
        <v>10000000</v>
      </c>
      <c r="EF82" s="31">
        <f t="shared" si="63"/>
        <v>10000000</v>
      </c>
    </row>
    <row r="83" spans="1:136" s="44" customFormat="1" ht="33.6" customHeight="1" x14ac:dyDescent="0.25">
      <c r="A83" s="239"/>
      <c r="B83" s="231"/>
      <c r="C83" s="50" t="s">
        <v>249</v>
      </c>
      <c r="D83" s="35" t="s">
        <v>250</v>
      </c>
      <c r="E83" s="22">
        <v>301</v>
      </c>
      <c r="F83" s="23" t="s">
        <v>240</v>
      </c>
      <c r="G83" s="24">
        <f t="shared" si="69"/>
        <v>15000000</v>
      </c>
      <c r="H83" s="25">
        <f>+'[14]SB 2020 2024'!$F$14</f>
        <v>41000000</v>
      </c>
      <c r="I83" s="25">
        <f t="shared" si="75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7">
        <f t="shared" si="58"/>
        <v>0.79733333333333334</v>
      </c>
      <c r="AH83" s="24">
        <f t="shared" si="44"/>
        <v>11960000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+[3]SEPTIEMBRE!$Z$843</f>
        <v>11960000</v>
      </c>
      <c r="AZ83" s="24"/>
      <c r="BA83" s="24"/>
      <c r="BB83" s="24"/>
      <c r="BC83" s="24"/>
      <c r="BD83" s="24"/>
      <c r="BE83" s="24"/>
      <c r="BF83" s="27">
        <f t="shared" si="61"/>
        <v>0.20266666666666666</v>
      </c>
      <c r="BG83" s="24">
        <f t="shared" si="70"/>
        <v>3040000</v>
      </c>
      <c r="BH83" s="24">
        <f t="shared" si="71"/>
        <v>0</v>
      </c>
      <c r="BI83" s="24">
        <f t="shared" si="71"/>
        <v>0</v>
      </c>
      <c r="BJ83" s="24">
        <f t="shared" si="71"/>
        <v>0</v>
      </c>
      <c r="BK83" s="24">
        <f t="shared" si="71"/>
        <v>0</v>
      </c>
      <c r="BL83" s="24">
        <f t="shared" si="71"/>
        <v>0</v>
      </c>
      <c r="BM83" s="24">
        <f t="shared" si="71"/>
        <v>0</v>
      </c>
      <c r="BN83" s="24">
        <f t="shared" si="71"/>
        <v>0</v>
      </c>
      <c r="BO83" s="24">
        <f t="shared" si="71"/>
        <v>0</v>
      </c>
      <c r="BP83" s="24">
        <f t="shared" si="71"/>
        <v>0</v>
      </c>
      <c r="BQ83" s="24">
        <f t="shared" si="71"/>
        <v>0</v>
      </c>
      <c r="BR83" s="24">
        <f t="shared" si="71"/>
        <v>0</v>
      </c>
      <c r="BS83" s="24">
        <f t="shared" si="71"/>
        <v>0</v>
      </c>
      <c r="BT83" s="24">
        <f t="shared" si="71"/>
        <v>0</v>
      </c>
      <c r="BU83" s="24">
        <f t="shared" si="71"/>
        <v>0</v>
      </c>
      <c r="BV83" s="24">
        <f t="shared" si="71"/>
        <v>0</v>
      </c>
      <c r="BW83" s="24">
        <f t="shared" si="71"/>
        <v>0</v>
      </c>
      <c r="BX83" s="24">
        <f t="shared" si="72"/>
        <v>3040000</v>
      </c>
      <c r="BY83" s="24">
        <f t="shared" si="72"/>
        <v>0</v>
      </c>
      <c r="BZ83" s="24">
        <f t="shared" si="72"/>
        <v>0</v>
      </c>
      <c r="CA83" s="24">
        <f t="shared" si="72"/>
        <v>0</v>
      </c>
      <c r="CB83" s="24">
        <f t="shared" si="72"/>
        <v>0</v>
      </c>
      <c r="CC83" s="24">
        <f t="shared" si="72"/>
        <v>0</v>
      </c>
      <c r="CD83" s="24">
        <f t="shared" si="72"/>
        <v>0</v>
      </c>
      <c r="CE83" s="27">
        <f t="shared" si="48"/>
        <v>0.79733333333333334</v>
      </c>
      <c r="CF83" s="24">
        <f t="shared" si="76"/>
        <v>11960000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+[4]JULIO!$H$713</f>
        <v>11960000</v>
      </c>
      <c r="CX83" s="24"/>
      <c r="CY83" s="24"/>
      <c r="CZ83" s="24"/>
      <c r="DA83" s="24"/>
      <c r="DB83" s="24"/>
      <c r="DC83" s="24"/>
      <c r="DD83" s="27">
        <f t="shared" si="59"/>
        <v>0.20266666666666666</v>
      </c>
      <c r="DE83" s="24">
        <f t="shared" si="50"/>
        <v>3040000</v>
      </c>
      <c r="DF83" s="24">
        <f t="shared" si="73"/>
        <v>0</v>
      </c>
      <c r="DG83" s="24">
        <f t="shared" si="73"/>
        <v>0</v>
      </c>
      <c r="DH83" s="24">
        <f t="shared" si="73"/>
        <v>0</v>
      </c>
      <c r="DI83" s="24">
        <f t="shared" si="73"/>
        <v>0</v>
      </c>
      <c r="DJ83" s="24">
        <f t="shared" si="73"/>
        <v>0</v>
      </c>
      <c r="DK83" s="24">
        <f t="shared" si="73"/>
        <v>0</v>
      </c>
      <c r="DL83" s="24">
        <f t="shared" si="73"/>
        <v>0</v>
      </c>
      <c r="DM83" s="24">
        <f t="shared" si="73"/>
        <v>0</v>
      </c>
      <c r="DN83" s="24">
        <f t="shared" si="73"/>
        <v>0</v>
      </c>
      <c r="DO83" s="24">
        <f t="shared" si="73"/>
        <v>0</v>
      </c>
      <c r="DP83" s="24">
        <f t="shared" si="73"/>
        <v>0</v>
      </c>
      <c r="DQ83" s="24">
        <f t="shared" si="73"/>
        <v>0</v>
      </c>
      <c r="DR83" s="24">
        <f t="shared" si="73"/>
        <v>0</v>
      </c>
      <c r="DS83" s="24">
        <f t="shared" si="73"/>
        <v>0</v>
      </c>
      <c r="DT83" s="24">
        <f t="shared" si="73"/>
        <v>0</v>
      </c>
      <c r="DU83" s="24">
        <f t="shared" si="73"/>
        <v>0</v>
      </c>
      <c r="DV83" s="24">
        <f t="shared" si="74"/>
        <v>3040000</v>
      </c>
      <c r="DW83" s="24">
        <f t="shared" si="74"/>
        <v>0</v>
      </c>
      <c r="DX83" s="24">
        <f t="shared" si="74"/>
        <v>0</v>
      </c>
      <c r="DY83" s="24">
        <f t="shared" si="74"/>
        <v>0</v>
      </c>
      <c r="DZ83" s="24">
        <f t="shared" si="74"/>
        <v>0</v>
      </c>
      <c r="EA83" s="24">
        <f t="shared" si="74"/>
        <v>0</v>
      </c>
      <c r="EB83" s="24">
        <f t="shared" si="74"/>
        <v>0</v>
      </c>
      <c r="ED83" s="31">
        <f t="shared" si="60"/>
        <v>15000000</v>
      </c>
      <c r="EE83" s="31">
        <f t="shared" si="62"/>
        <v>15000000</v>
      </c>
      <c r="EF83" s="31">
        <f t="shared" si="63"/>
        <v>15000000</v>
      </c>
    </row>
    <row r="84" spans="1:136" s="44" customFormat="1" ht="36" customHeight="1" x14ac:dyDescent="0.25">
      <c r="A84" s="239"/>
      <c r="B84" s="229"/>
      <c r="C84" s="50" t="s">
        <v>251</v>
      </c>
      <c r="D84" s="35" t="s">
        <v>252</v>
      </c>
      <c r="E84" s="51">
        <v>301</v>
      </c>
      <c r="F84" s="53" t="s">
        <v>240</v>
      </c>
      <c r="G84" s="24">
        <f t="shared" si="69"/>
        <v>70000000</v>
      </c>
      <c r="H84" s="71">
        <f>+'[14]SB 2020 2024'!$F$17</f>
        <v>141000000</v>
      </c>
      <c r="I84" s="71">
        <f t="shared" si="75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7">
        <f t="shared" si="58"/>
        <v>1</v>
      </c>
      <c r="AH84" s="24">
        <f t="shared" si="44"/>
        <v>70000000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+[4]JULIO!$Z$725</f>
        <v>70000000</v>
      </c>
      <c r="AZ84" s="24"/>
      <c r="BA84" s="24"/>
      <c r="BB84" s="24"/>
      <c r="BC84" s="24"/>
      <c r="BD84" s="24"/>
      <c r="BE84" s="24"/>
      <c r="BF84" s="72">
        <f t="shared" si="61"/>
        <v>0</v>
      </c>
      <c r="BG84" s="24">
        <f t="shared" si="70"/>
        <v>0</v>
      </c>
      <c r="BH84" s="24">
        <f t="shared" si="71"/>
        <v>0</v>
      </c>
      <c r="BI84" s="24">
        <f t="shared" si="71"/>
        <v>0</v>
      </c>
      <c r="BJ84" s="24">
        <f t="shared" si="71"/>
        <v>0</v>
      </c>
      <c r="BK84" s="24">
        <f t="shared" si="71"/>
        <v>0</v>
      </c>
      <c r="BL84" s="24">
        <f t="shared" si="71"/>
        <v>0</v>
      </c>
      <c r="BM84" s="24">
        <f t="shared" si="71"/>
        <v>0</v>
      </c>
      <c r="BN84" s="24">
        <f t="shared" si="71"/>
        <v>0</v>
      </c>
      <c r="BO84" s="24">
        <f t="shared" si="71"/>
        <v>0</v>
      </c>
      <c r="BP84" s="24">
        <f t="shared" si="71"/>
        <v>0</v>
      </c>
      <c r="BQ84" s="24">
        <f t="shared" si="71"/>
        <v>0</v>
      </c>
      <c r="BR84" s="24">
        <f t="shared" si="71"/>
        <v>0</v>
      </c>
      <c r="BS84" s="24">
        <f t="shared" si="71"/>
        <v>0</v>
      </c>
      <c r="BT84" s="24">
        <f t="shared" si="71"/>
        <v>0</v>
      </c>
      <c r="BU84" s="24">
        <f t="shared" si="71"/>
        <v>0</v>
      </c>
      <c r="BV84" s="24">
        <f t="shared" si="71"/>
        <v>0</v>
      </c>
      <c r="BW84" s="24">
        <f t="shared" si="71"/>
        <v>0</v>
      </c>
      <c r="BX84" s="24">
        <f t="shared" si="72"/>
        <v>0</v>
      </c>
      <c r="BY84" s="24">
        <f t="shared" si="72"/>
        <v>0</v>
      </c>
      <c r="BZ84" s="24">
        <f t="shared" si="72"/>
        <v>0</v>
      </c>
      <c r="CA84" s="24">
        <f t="shared" si="72"/>
        <v>0</v>
      </c>
      <c r="CB84" s="24">
        <f t="shared" si="72"/>
        <v>0</v>
      </c>
      <c r="CC84" s="24">
        <f t="shared" si="72"/>
        <v>0</v>
      </c>
      <c r="CD84" s="24">
        <f t="shared" si="72"/>
        <v>0</v>
      </c>
      <c r="CE84" s="27">
        <f t="shared" si="48"/>
        <v>0.98995235714285712</v>
      </c>
      <c r="CF84" s="24">
        <f t="shared" si="76"/>
        <v>69296665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+[3]SEPTIEMBRE!$H$851</f>
        <v>69296665</v>
      </c>
      <c r="CX84" s="24"/>
      <c r="CY84" s="24"/>
      <c r="CZ84" s="24"/>
      <c r="DA84" s="24"/>
      <c r="DB84" s="24"/>
      <c r="DC84" s="24"/>
      <c r="DD84" s="72">
        <f t="shared" si="59"/>
        <v>1.004764285714288E-2</v>
      </c>
      <c r="DE84" s="24">
        <f t="shared" si="50"/>
        <v>703335</v>
      </c>
      <c r="DF84" s="24">
        <f t="shared" si="73"/>
        <v>0</v>
      </c>
      <c r="DG84" s="24">
        <f t="shared" si="73"/>
        <v>0</v>
      </c>
      <c r="DH84" s="24">
        <f t="shared" si="73"/>
        <v>0</v>
      </c>
      <c r="DI84" s="24">
        <f t="shared" si="73"/>
        <v>0</v>
      </c>
      <c r="DJ84" s="24">
        <f t="shared" si="73"/>
        <v>0</v>
      </c>
      <c r="DK84" s="24">
        <f t="shared" si="73"/>
        <v>0</v>
      </c>
      <c r="DL84" s="24">
        <f t="shared" si="73"/>
        <v>0</v>
      </c>
      <c r="DM84" s="24">
        <f t="shared" si="73"/>
        <v>0</v>
      </c>
      <c r="DN84" s="24">
        <f t="shared" si="73"/>
        <v>0</v>
      </c>
      <c r="DO84" s="24">
        <f t="shared" si="73"/>
        <v>0</v>
      </c>
      <c r="DP84" s="24">
        <f t="shared" si="73"/>
        <v>0</v>
      </c>
      <c r="DQ84" s="24">
        <f t="shared" si="73"/>
        <v>0</v>
      </c>
      <c r="DR84" s="24">
        <f t="shared" si="73"/>
        <v>0</v>
      </c>
      <c r="DS84" s="24">
        <f t="shared" si="73"/>
        <v>0</v>
      </c>
      <c r="DT84" s="24">
        <f t="shared" si="73"/>
        <v>0</v>
      </c>
      <c r="DU84" s="24">
        <f t="shared" si="73"/>
        <v>0</v>
      </c>
      <c r="DV84" s="24">
        <f t="shared" si="74"/>
        <v>703335</v>
      </c>
      <c r="DW84" s="24">
        <f t="shared" si="74"/>
        <v>0</v>
      </c>
      <c r="DX84" s="24">
        <f t="shared" si="74"/>
        <v>0</v>
      </c>
      <c r="DY84" s="24">
        <f t="shared" si="74"/>
        <v>0</v>
      </c>
      <c r="DZ84" s="24">
        <f t="shared" si="74"/>
        <v>0</v>
      </c>
      <c r="EA84" s="24">
        <f t="shared" si="74"/>
        <v>0</v>
      </c>
      <c r="EB84" s="24">
        <f t="shared" si="74"/>
        <v>0</v>
      </c>
      <c r="ED84" s="31">
        <f t="shared" si="60"/>
        <v>70000000</v>
      </c>
      <c r="EE84" s="31">
        <f t="shared" si="62"/>
        <v>70000000</v>
      </c>
      <c r="EF84" s="31">
        <f t="shared" si="63"/>
        <v>70000000</v>
      </c>
    </row>
    <row r="85" spans="1:136" ht="36.75" customHeight="1" x14ac:dyDescent="0.25">
      <c r="A85" s="239"/>
      <c r="B85" s="228" t="s">
        <v>253</v>
      </c>
      <c r="C85" s="73" t="s">
        <v>254</v>
      </c>
      <c r="D85" s="35" t="s">
        <v>255</v>
      </c>
      <c r="E85" s="22">
        <v>301</v>
      </c>
      <c r="F85" s="23" t="s">
        <v>256</v>
      </c>
      <c r="G85" s="24">
        <f t="shared" si="69"/>
        <v>56200000</v>
      </c>
      <c r="H85" s="25">
        <f>+'[14]SB 2020 2024'!$F$25</f>
        <v>97200000</v>
      </c>
      <c r="I85" s="25">
        <f t="shared" si="75"/>
        <v>41000000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</f>
        <v>8000000</v>
      </c>
      <c r="AG85" s="27">
        <f t="shared" si="58"/>
        <v>0.85765124555160144</v>
      </c>
      <c r="AH85" s="24">
        <f t="shared" si="44"/>
        <v>48200000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f>+[4]JULIO!$AC$745</f>
        <v>48200000</v>
      </c>
      <c r="BC85" s="24"/>
      <c r="BD85" s="24"/>
      <c r="BE85" s="24"/>
      <c r="BF85" s="27">
        <f t="shared" si="61"/>
        <v>0.14234875444839856</v>
      </c>
      <c r="BG85" s="24">
        <f t="shared" si="70"/>
        <v>8000000</v>
      </c>
      <c r="BH85" s="24">
        <f t="shared" si="71"/>
        <v>0</v>
      </c>
      <c r="BI85" s="24">
        <f t="shared" si="71"/>
        <v>0</v>
      </c>
      <c r="BJ85" s="24">
        <f t="shared" si="71"/>
        <v>0</v>
      </c>
      <c r="BK85" s="24">
        <f t="shared" si="71"/>
        <v>0</v>
      </c>
      <c r="BL85" s="24">
        <f t="shared" si="71"/>
        <v>0</v>
      </c>
      <c r="BM85" s="24">
        <f t="shared" si="71"/>
        <v>0</v>
      </c>
      <c r="BN85" s="24">
        <f t="shared" si="71"/>
        <v>0</v>
      </c>
      <c r="BO85" s="24">
        <f t="shared" si="71"/>
        <v>0</v>
      </c>
      <c r="BP85" s="24">
        <f t="shared" si="71"/>
        <v>0</v>
      </c>
      <c r="BQ85" s="24">
        <f t="shared" si="71"/>
        <v>0</v>
      </c>
      <c r="BR85" s="24">
        <f t="shared" si="71"/>
        <v>0</v>
      </c>
      <c r="BS85" s="24">
        <f t="shared" si="71"/>
        <v>0</v>
      </c>
      <c r="BT85" s="24">
        <f t="shared" si="71"/>
        <v>0</v>
      </c>
      <c r="BU85" s="24">
        <f t="shared" si="71"/>
        <v>0</v>
      </c>
      <c r="BV85" s="24">
        <f t="shared" si="71"/>
        <v>0</v>
      </c>
      <c r="BW85" s="24">
        <f t="shared" si="71"/>
        <v>0</v>
      </c>
      <c r="BX85" s="24">
        <f t="shared" si="72"/>
        <v>0</v>
      </c>
      <c r="BY85" s="24">
        <f t="shared" si="72"/>
        <v>0</v>
      </c>
      <c r="BZ85" s="24">
        <f t="shared" si="72"/>
        <v>0</v>
      </c>
      <c r="CA85" s="24">
        <f t="shared" si="72"/>
        <v>0</v>
      </c>
      <c r="CB85" s="24">
        <f t="shared" si="72"/>
        <v>0</v>
      </c>
      <c r="CC85" s="24">
        <f t="shared" si="72"/>
        <v>0</v>
      </c>
      <c r="CD85" s="24">
        <f t="shared" si="72"/>
        <v>8000000</v>
      </c>
      <c r="CE85" s="27">
        <f t="shared" si="48"/>
        <v>0.83319592526690389</v>
      </c>
      <c r="CF85" s="24">
        <f t="shared" si="76"/>
        <v>46825611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+[2]OCTUBRE!$H$926</f>
        <v>46825611</v>
      </c>
      <c r="DA85" s="24"/>
      <c r="DB85" s="24"/>
      <c r="DC85" s="24"/>
      <c r="DD85" s="27">
        <f t="shared" si="59"/>
        <v>0.16680407473309611</v>
      </c>
      <c r="DE85" s="24">
        <f t="shared" si="50"/>
        <v>9374389</v>
      </c>
      <c r="DF85" s="24">
        <f t="shared" si="73"/>
        <v>0</v>
      </c>
      <c r="DG85" s="24">
        <f t="shared" si="73"/>
        <v>0</v>
      </c>
      <c r="DH85" s="24">
        <f t="shared" si="73"/>
        <v>0</v>
      </c>
      <c r="DI85" s="24">
        <f t="shared" si="73"/>
        <v>0</v>
      </c>
      <c r="DJ85" s="24">
        <f t="shared" si="73"/>
        <v>0</v>
      </c>
      <c r="DK85" s="24">
        <f t="shared" si="73"/>
        <v>0</v>
      </c>
      <c r="DL85" s="24">
        <f t="shared" si="73"/>
        <v>0</v>
      </c>
      <c r="DM85" s="24">
        <f t="shared" si="73"/>
        <v>0</v>
      </c>
      <c r="DN85" s="24">
        <f t="shared" si="73"/>
        <v>0</v>
      </c>
      <c r="DO85" s="24">
        <f t="shared" si="73"/>
        <v>0</v>
      </c>
      <c r="DP85" s="24">
        <f t="shared" si="73"/>
        <v>0</v>
      </c>
      <c r="DQ85" s="24">
        <f t="shared" si="73"/>
        <v>0</v>
      </c>
      <c r="DR85" s="24">
        <f t="shared" si="73"/>
        <v>0</v>
      </c>
      <c r="DS85" s="24">
        <f t="shared" si="73"/>
        <v>0</v>
      </c>
      <c r="DT85" s="24">
        <f t="shared" si="73"/>
        <v>0</v>
      </c>
      <c r="DU85" s="24">
        <f t="shared" si="73"/>
        <v>0</v>
      </c>
      <c r="DV85" s="24">
        <f t="shared" si="74"/>
        <v>0</v>
      </c>
      <c r="DW85" s="24">
        <f t="shared" si="74"/>
        <v>0</v>
      </c>
      <c r="DX85" s="24">
        <f t="shared" si="74"/>
        <v>0</v>
      </c>
      <c r="DY85" s="24">
        <f t="shared" si="74"/>
        <v>1374389</v>
      </c>
      <c r="DZ85" s="24">
        <f t="shared" si="74"/>
        <v>0</v>
      </c>
      <c r="EA85" s="24">
        <f t="shared" si="74"/>
        <v>0</v>
      </c>
      <c r="EB85" s="24">
        <f t="shared" si="74"/>
        <v>8000000</v>
      </c>
      <c r="ED85" s="31">
        <f t="shared" si="60"/>
        <v>56200000</v>
      </c>
      <c r="EE85" s="31">
        <f t="shared" si="62"/>
        <v>56200000</v>
      </c>
      <c r="EF85" s="31">
        <f t="shared" si="63"/>
        <v>56200000</v>
      </c>
    </row>
    <row r="86" spans="1:136" ht="20.25" customHeight="1" x14ac:dyDescent="0.25">
      <c r="A86" s="239"/>
      <c r="B86" s="231"/>
      <c r="C86" s="73" t="s">
        <v>257</v>
      </c>
      <c r="D86" s="35" t="s">
        <v>258</v>
      </c>
      <c r="E86" s="22">
        <v>301</v>
      </c>
      <c r="F86" s="23" t="s">
        <v>240</v>
      </c>
      <c r="G86" s="24">
        <f t="shared" si="69"/>
        <v>300000000</v>
      </c>
      <c r="H86" s="25">
        <f>+'[14]SB 2020 2024'!$F$27</f>
        <v>421000000</v>
      </c>
      <c r="I86" s="25">
        <f t="shared" si="75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7">
        <f t="shared" si="58"/>
        <v>0.71</v>
      </c>
      <c r="AH86" s="24">
        <f t="shared" si="44"/>
        <v>213000000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+[2]OCTUBRE!$AC$948</f>
        <v>213000000</v>
      </c>
      <c r="BC86" s="24"/>
      <c r="BD86" s="24"/>
      <c r="BE86" s="24"/>
      <c r="BF86" s="27">
        <f t="shared" si="61"/>
        <v>0.29000000000000004</v>
      </c>
      <c r="BG86" s="24">
        <f t="shared" si="70"/>
        <v>87000000</v>
      </c>
      <c r="BH86" s="24">
        <f t="shared" si="71"/>
        <v>0</v>
      </c>
      <c r="BI86" s="24">
        <f t="shared" si="71"/>
        <v>0</v>
      </c>
      <c r="BJ86" s="24">
        <f t="shared" si="71"/>
        <v>0</v>
      </c>
      <c r="BK86" s="24">
        <f t="shared" si="71"/>
        <v>0</v>
      </c>
      <c r="BL86" s="24">
        <f t="shared" si="71"/>
        <v>0</v>
      </c>
      <c r="BM86" s="24">
        <f t="shared" si="71"/>
        <v>0</v>
      </c>
      <c r="BN86" s="24">
        <f t="shared" si="71"/>
        <v>0</v>
      </c>
      <c r="BO86" s="24">
        <f t="shared" si="71"/>
        <v>0</v>
      </c>
      <c r="BP86" s="24">
        <f t="shared" si="71"/>
        <v>0</v>
      </c>
      <c r="BQ86" s="24">
        <f t="shared" si="71"/>
        <v>0</v>
      </c>
      <c r="BR86" s="24">
        <f t="shared" si="71"/>
        <v>0</v>
      </c>
      <c r="BS86" s="24">
        <f t="shared" si="71"/>
        <v>0</v>
      </c>
      <c r="BT86" s="24">
        <f t="shared" si="71"/>
        <v>0</v>
      </c>
      <c r="BU86" s="24">
        <f t="shared" si="71"/>
        <v>0</v>
      </c>
      <c r="BV86" s="24">
        <f t="shared" si="71"/>
        <v>0</v>
      </c>
      <c r="BW86" s="24">
        <f t="shared" si="71"/>
        <v>0</v>
      </c>
      <c r="BX86" s="24">
        <f t="shared" si="72"/>
        <v>0</v>
      </c>
      <c r="BY86" s="24">
        <f t="shared" si="72"/>
        <v>0</v>
      </c>
      <c r="BZ86" s="24">
        <f t="shared" si="72"/>
        <v>0</v>
      </c>
      <c r="CA86" s="24">
        <f t="shared" si="72"/>
        <v>87000000</v>
      </c>
      <c r="CB86" s="24">
        <f t="shared" si="72"/>
        <v>0</v>
      </c>
      <c r="CC86" s="24">
        <f t="shared" si="72"/>
        <v>0</v>
      </c>
      <c r="CD86" s="24">
        <f t="shared" si="72"/>
        <v>0</v>
      </c>
      <c r="CE86" s="27">
        <f t="shared" si="48"/>
        <v>0.71</v>
      </c>
      <c r="CF86" s="24">
        <f t="shared" si="76"/>
        <v>213000000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+[2]OCTUBRE!$H$946</f>
        <v>213000000</v>
      </c>
      <c r="DA86" s="24"/>
      <c r="DB86" s="24"/>
      <c r="DC86" s="24"/>
      <c r="DD86" s="27">
        <f t="shared" si="59"/>
        <v>0.29000000000000004</v>
      </c>
      <c r="DE86" s="24">
        <f t="shared" si="50"/>
        <v>87000000</v>
      </c>
      <c r="DF86" s="24">
        <f t="shared" si="73"/>
        <v>0</v>
      </c>
      <c r="DG86" s="24">
        <f t="shared" si="73"/>
        <v>0</v>
      </c>
      <c r="DH86" s="24">
        <f t="shared" si="73"/>
        <v>0</v>
      </c>
      <c r="DI86" s="24">
        <f t="shared" si="73"/>
        <v>0</v>
      </c>
      <c r="DJ86" s="24">
        <f t="shared" si="73"/>
        <v>0</v>
      </c>
      <c r="DK86" s="24">
        <f t="shared" si="73"/>
        <v>0</v>
      </c>
      <c r="DL86" s="24">
        <f t="shared" si="73"/>
        <v>0</v>
      </c>
      <c r="DM86" s="24">
        <f t="shared" si="73"/>
        <v>0</v>
      </c>
      <c r="DN86" s="24">
        <f t="shared" si="73"/>
        <v>0</v>
      </c>
      <c r="DO86" s="24">
        <f t="shared" si="73"/>
        <v>0</v>
      </c>
      <c r="DP86" s="24">
        <f t="shared" si="73"/>
        <v>0</v>
      </c>
      <c r="DQ86" s="24">
        <f t="shared" si="73"/>
        <v>0</v>
      </c>
      <c r="DR86" s="24">
        <f t="shared" si="73"/>
        <v>0</v>
      </c>
      <c r="DS86" s="24">
        <f t="shared" si="73"/>
        <v>0</v>
      </c>
      <c r="DT86" s="24">
        <f t="shared" si="73"/>
        <v>0</v>
      </c>
      <c r="DU86" s="24">
        <f t="shared" si="73"/>
        <v>0</v>
      </c>
      <c r="DV86" s="24">
        <f t="shared" si="74"/>
        <v>0</v>
      </c>
      <c r="DW86" s="24">
        <f t="shared" si="74"/>
        <v>0</v>
      </c>
      <c r="DX86" s="24">
        <f t="shared" si="74"/>
        <v>0</v>
      </c>
      <c r="DY86" s="24">
        <f t="shared" si="74"/>
        <v>87000000</v>
      </c>
      <c r="DZ86" s="24">
        <f t="shared" si="74"/>
        <v>0</v>
      </c>
      <c r="EA86" s="24">
        <f t="shared" si="74"/>
        <v>0</v>
      </c>
      <c r="EB86" s="24">
        <f t="shared" si="74"/>
        <v>0</v>
      </c>
      <c r="ED86" s="31">
        <f t="shared" si="60"/>
        <v>300000000</v>
      </c>
      <c r="EE86" s="31">
        <f t="shared" si="62"/>
        <v>300000000</v>
      </c>
      <c r="EF86" s="31">
        <f t="shared" si="63"/>
        <v>300000000</v>
      </c>
    </row>
    <row r="87" spans="1:136" ht="39.75" customHeight="1" x14ac:dyDescent="0.25">
      <c r="A87" s="239"/>
      <c r="B87" s="229"/>
      <c r="C87" s="73" t="s">
        <v>259</v>
      </c>
      <c r="D87" s="35" t="s">
        <v>260</v>
      </c>
      <c r="E87" s="22">
        <v>301</v>
      </c>
      <c r="F87" s="23" t="s">
        <v>261</v>
      </c>
      <c r="G87" s="24">
        <f t="shared" si="69"/>
        <v>108000000</v>
      </c>
      <c r="H87" s="25">
        <f>+'[14]SB 2020 2024'!$F$28</f>
        <v>130000000</v>
      </c>
      <c r="I87" s="25">
        <f t="shared" si="75"/>
        <v>22000000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6">
        <f>8000000+5000000-3000000-2000000</f>
        <v>8000000</v>
      </c>
      <c r="AG87" s="27">
        <f t="shared" si="58"/>
        <v>0.94444444444444442</v>
      </c>
      <c r="AH87" s="24">
        <f t="shared" si="44"/>
        <v>102000000</v>
      </c>
      <c r="AI87" s="24">
        <f>+[2]OCTUBRE!$J$1010</f>
        <v>100000000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+[2]OCTUBRE!$AG$1010</f>
        <v>2000000</v>
      </c>
      <c r="BF87" s="27">
        <f t="shared" si="61"/>
        <v>5.555555555555558E-2</v>
      </c>
      <c r="BG87" s="24">
        <f t="shared" si="70"/>
        <v>6000000</v>
      </c>
      <c r="BH87" s="24">
        <f t="shared" si="71"/>
        <v>0</v>
      </c>
      <c r="BI87" s="24">
        <f t="shared" si="71"/>
        <v>0</v>
      </c>
      <c r="BJ87" s="24">
        <f t="shared" si="71"/>
        <v>0</v>
      </c>
      <c r="BK87" s="24">
        <f t="shared" si="71"/>
        <v>0</v>
      </c>
      <c r="BL87" s="24">
        <f t="shared" si="71"/>
        <v>0</v>
      </c>
      <c r="BM87" s="24">
        <f t="shared" si="71"/>
        <v>0</v>
      </c>
      <c r="BN87" s="24">
        <f t="shared" si="71"/>
        <v>0</v>
      </c>
      <c r="BO87" s="24">
        <f t="shared" si="71"/>
        <v>0</v>
      </c>
      <c r="BP87" s="24">
        <f t="shared" si="71"/>
        <v>0</v>
      </c>
      <c r="BQ87" s="24">
        <f t="shared" si="71"/>
        <v>0</v>
      </c>
      <c r="BR87" s="24">
        <f t="shared" si="71"/>
        <v>0</v>
      </c>
      <c r="BS87" s="24">
        <f t="shared" si="71"/>
        <v>0</v>
      </c>
      <c r="BT87" s="24">
        <f t="shared" si="71"/>
        <v>0</v>
      </c>
      <c r="BU87" s="24">
        <f t="shared" si="71"/>
        <v>0</v>
      </c>
      <c r="BV87" s="24">
        <f t="shared" si="71"/>
        <v>0</v>
      </c>
      <c r="BW87" s="24">
        <f t="shared" si="71"/>
        <v>0</v>
      </c>
      <c r="BX87" s="24">
        <f t="shared" si="72"/>
        <v>0</v>
      </c>
      <c r="BY87" s="24">
        <f t="shared" si="72"/>
        <v>0</v>
      </c>
      <c r="BZ87" s="24">
        <f t="shared" si="72"/>
        <v>0</v>
      </c>
      <c r="CA87" s="24">
        <f t="shared" si="72"/>
        <v>0</v>
      </c>
      <c r="CB87" s="24">
        <f t="shared" si="72"/>
        <v>0</v>
      </c>
      <c r="CC87" s="24">
        <f t="shared" si="72"/>
        <v>0</v>
      </c>
      <c r="CD87" s="24">
        <f t="shared" si="72"/>
        <v>6000000</v>
      </c>
      <c r="CE87" s="27">
        <f t="shared" si="48"/>
        <v>1.8518518518518517E-2</v>
      </c>
      <c r="CF87" s="24">
        <f t="shared" si="76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+'[5]FEBRERO 2020'!$H$815</f>
        <v>2000000</v>
      </c>
      <c r="DD87" s="27">
        <f t="shared" si="59"/>
        <v>0.98148148148148151</v>
      </c>
      <c r="DE87" s="24">
        <f t="shared" si="50"/>
        <v>106000000</v>
      </c>
      <c r="DF87" s="24">
        <f t="shared" si="73"/>
        <v>100000000</v>
      </c>
      <c r="DG87" s="24">
        <f t="shared" si="73"/>
        <v>0</v>
      </c>
      <c r="DH87" s="24">
        <f t="shared" si="73"/>
        <v>0</v>
      </c>
      <c r="DI87" s="24">
        <f t="shared" si="73"/>
        <v>0</v>
      </c>
      <c r="DJ87" s="24">
        <f t="shared" si="73"/>
        <v>0</v>
      </c>
      <c r="DK87" s="24">
        <f t="shared" si="73"/>
        <v>0</v>
      </c>
      <c r="DL87" s="24">
        <f t="shared" si="73"/>
        <v>0</v>
      </c>
      <c r="DM87" s="24">
        <f t="shared" si="73"/>
        <v>0</v>
      </c>
      <c r="DN87" s="24">
        <f t="shared" si="73"/>
        <v>0</v>
      </c>
      <c r="DO87" s="24">
        <f t="shared" si="73"/>
        <v>0</v>
      </c>
      <c r="DP87" s="24">
        <f t="shared" si="73"/>
        <v>0</v>
      </c>
      <c r="DQ87" s="24">
        <f t="shared" si="73"/>
        <v>0</v>
      </c>
      <c r="DR87" s="24">
        <f t="shared" si="73"/>
        <v>0</v>
      </c>
      <c r="DS87" s="24">
        <f t="shared" si="73"/>
        <v>0</v>
      </c>
      <c r="DT87" s="24">
        <f t="shared" si="73"/>
        <v>0</v>
      </c>
      <c r="DU87" s="24">
        <f t="shared" si="73"/>
        <v>0</v>
      </c>
      <c r="DV87" s="24">
        <f t="shared" si="74"/>
        <v>0</v>
      </c>
      <c r="DW87" s="24">
        <f t="shared" si="74"/>
        <v>0</v>
      </c>
      <c r="DX87" s="24">
        <f t="shared" si="74"/>
        <v>0</v>
      </c>
      <c r="DY87" s="24">
        <f t="shared" si="74"/>
        <v>0</v>
      </c>
      <c r="DZ87" s="24">
        <f t="shared" si="74"/>
        <v>0</v>
      </c>
      <c r="EA87" s="24">
        <f t="shared" si="74"/>
        <v>0</v>
      </c>
      <c r="EB87" s="24">
        <f t="shared" si="74"/>
        <v>6000000</v>
      </c>
      <c r="ED87" s="31">
        <f t="shared" si="60"/>
        <v>108000000</v>
      </c>
      <c r="EE87" s="31">
        <f t="shared" si="62"/>
        <v>108000000</v>
      </c>
      <c r="EF87" s="31">
        <f t="shared" si="63"/>
        <v>108000000</v>
      </c>
    </row>
    <row r="88" spans="1:136" s="44" customFormat="1" ht="19.149999999999999" customHeight="1" x14ac:dyDescent="0.25">
      <c r="A88" s="239"/>
      <c r="B88" s="228" t="s">
        <v>262</v>
      </c>
      <c r="C88" s="50" t="s">
        <v>263</v>
      </c>
      <c r="D88" s="35" t="s">
        <v>264</v>
      </c>
      <c r="E88" s="51">
        <v>301</v>
      </c>
      <c r="F88" s="53" t="s">
        <v>240</v>
      </c>
      <c r="G88" s="24">
        <f t="shared" si="69"/>
        <v>126665755</v>
      </c>
      <c r="H88" s="71">
        <f>+'[14]SB 2020 2024'!$F35</f>
        <v>205624500</v>
      </c>
      <c r="I88" s="71">
        <f t="shared" si="75"/>
        <v>78958745</v>
      </c>
      <c r="J88" s="7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4">
        <v>24792255</v>
      </c>
      <c r="AD88" s="24"/>
      <c r="AE88" s="24"/>
      <c r="AF88" s="26">
        <v>0</v>
      </c>
      <c r="AG88" s="27">
        <f t="shared" si="58"/>
        <v>0.98319128165304037</v>
      </c>
      <c r="AH88" s="24">
        <f t="shared" si="44"/>
        <v>124536666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>
        <f>+[4]JULIO!$Z$827</f>
        <v>101873500</v>
      </c>
      <c r="AZ88" s="24"/>
      <c r="BA88" s="24"/>
      <c r="BB88" s="24">
        <f>+[3]SEPTIEMBRE!$AC$972</f>
        <v>22663166</v>
      </c>
      <c r="BC88" s="24"/>
      <c r="BD88" s="24"/>
      <c r="BE88" s="24"/>
      <c r="BF88" s="72">
        <f t="shared" si="61"/>
        <v>1.6808718346959628E-2</v>
      </c>
      <c r="BG88" s="24">
        <f t="shared" si="70"/>
        <v>2129089</v>
      </c>
      <c r="BH88" s="24">
        <f t="shared" si="71"/>
        <v>0</v>
      </c>
      <c r="BI88" s="24">
        <f t="shared" si="71"/>
        <v>0</v>
      </c>
      <c r="BJ88" s="24">
        <f t="shared" si="71"/>
        <v>0</v>
      </c>
      <c r="BK88" s="24">
        <f t="shared" si="71"/>
        <v>0</v>
      </c>
      <c r="BL88" s="24">
        <f t="shared" si="71"/>
        <v>0</v>
      </c>
      <c r="BM88" s="24">
        <f t="shared" si="71"/>
        <v>0</v>
      </c>
      <c r="BN88" s="24">
        <f t="shared" si="71"/>
        <v>0</v>
      </c>
      <c r="BO88" s="24">
        <f t="shared" si="71"/>
        <v>0</v>
      </c>
      <c r="BP88" s="24">
        <f t="shared" si="71"/>
        <v>0</v>
      </c>
      <c r="BQ88" s="24">
        <f t="shared" si="71"/>
        <v>0</v>
      </c>
      <c r="BR88" s="24">
        <f t="shared" si="71"/>
        <v>0</v>
      </c>
      <c r="BS88" s="24">
        <f t="shared" si="71"/>
        <v>0</v>
      </c>
      <c r="BT88" s="24">
        <f t="shared" si="71"/>
        <v>0</v>
      </c>
      <c r="BU88" s="24">
        <f t="shared" si="71"/>
        <v>0</v>
      </c>
      <c r="BV88" s="24">
        <f t="shared" si="71"/>
        <v>0</v>
      </c>
      <c r="BW88" s="24">
        <f t="shared" si="71"/>
        <v>0</v>
      </c>
      <c r="BX88" s="24">
        <f t="shared" si="72"/>
        <v>0</v>
      </c>
      <c r="BY88" s="24">
        <f t="shared" si="72"/>
        <v>0</v>
      </c>
      <c r="BZ88" s="24">
        <f t="shared" si="72"/>
        <v>0</v>
      </c>
      <c r="CA88" s="24">
        <f t="shared" si="72"/>
        <v>2129089</v>
      </c>
      <c r="CB88" s="24">
        <f t="shared" si="72"/>
        <v>0</v>
      </c>
      <c r="CC88" s="24">
        <f t="shared" si="72"/>
        <v>0</v>
      </c>
      <c r="CD88" s="24">
        <f t="shared" si="72"/>
        <v>0</v>
      </c>
      <c r="CE88" s="27">
        <f t="shared" si="48"/>
        <v>0.98319128165304037</v>
      </c>
      <c r="CF88" s="24">
        <f t="shared" si="76"/>
        <v>124536666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>
        <f>+[4]JULIO!$H$828</f>
        <v>101873500</v>
      </c>
      <c r="CX88" s="24"/>
      <c r="CY88" s="24"/>
      <c r="CZ88" s="24">
        <f>+[4]JULIO!$H$841</f>
        <v>22663166</v>
      </c>
      <c r="DA88" s="24"/>
      <c r="DB88" s="24"/>
      <c r="DC88" s="24"/>
      <c r="DD88" s="72">
        <f t="shared" si="59"/>
        <v>1.6808718346959628E-2</v>
      </c>
      <c r="DE88" s="24">
        <f t="shared" si="50"/>
        <v>2129089</v>
      </c>
      <c r="DF88" s="24">
        <f t="shared" si="73"/>
        <v>0</v>
      </c>
      <c r="DG88" s="24">
        <f t="shared" si="73"/>
        <v>0</v>
      </c>
      <c r="DH88" s="24">
        <f t="shared" si="73"/>
        <v>0</v>
      </c>
      <c r="DI88" s="24">
        <f t="shared" si="73"/>
        <v>0</v>
      </c>
      <c r="DJ88" s="24">
        <f t="shared" si="73"/>
        <v>0</v>
      </c>
      <c r="DK88" s="24">
        <f t="shared" si="73"/>
        <v>0</v>
      </c>
      <c r="DL88" s="24">
        <f t="shared" si="73"/>
        <v>0</v>
      </c>
      <c r="DM88" s="24">
        <f t="shared" si="73"/>
        <v>0</v>
      </c>
      <c r="DN88" s="24">
        <f t="shared" si="73"/>
        <v>0</v>
      </c>
      <c r="DO88" s="24">
        <f t="shared" si="73"/>
        <v>0</v>
      </c>
      <c r="DP88" s="24">
        <f t="shared" si="73"/>
        <v>0</v>
      </c>
      <c r="DQ88" s="24">
        <f t="shared" si="73"/>
        <v>0</v>
      </c>
      <c r="DR88" s="24">
        <f t="shared" si="73"/>
        <v>0</v>
      </c>
      <c r="DS88" s="24">
        <f t="shared" si="73"/>
        <v>0</v>
      </c>
      <c r="DT88" s="24">
        <f t="shared" si="73"/>
        <v>0</v>
      </c>
      <c r="DU88" s="24">
        <f t="shared" si="73"/>
        <v>0</v>
      </c>
      <c r="DV88" s="24">
        <f t="shared" si="74"/>
        <v>0</v>
      </c>
      <c r="DW88" s="24">
        <f t="shared" si="74"/>
        <v>0</v>
      </c>
      <c r="DX88" s="24">
        <f t="shared" si="74"/>
        <v>0</v>
      </c>
      <c r="DY88" s="24">
        <f t="shared" si="74"/>
        <v>2129089</v>
      </c>
      <c r="DZ88" s="24">
        <f t="shared" si="74"/>
        <v>0</v>
      </c>
      <c r="EA88" s="24">
        <f t="shared" si="74"/>
        <v>0</v>
      </c>
      <c r="EB88" s="24">
        <f t="shared" si="74"/>
        <v>0</v>
      </c>
      <c r="ED88" s="31">
        <f t="shared" si="60"/>
        <v>126665755</v>
      </c>
      <c r="EE88" s="31">
        <f t="shared" si="62"/>
        <v>126665755</v>
      </c>
      <c r="EF88" s="31">
        <f t="shared" si="63"/>
        <v>126665755</v>
      </c>
    </row>
    <row r="89" spans="1:136" ht="51" customHeight="1" x14ac:dyDescent="0.25">
      <c r="A89" s="239"/>
      <c r="B89" s="229"/>
      <c r="C89" s="50" t="s">
        <v>265</v>
      </c>
      <c r="D89" s="21" t="s">
        <v>266</v>
      </c>
      <c r="E89" s="22">
        <v>301</v>
      </c>
      <c r="F89" s="23" t="s">
        <v>267</v>
      </c>
      <c r="G89" s="24">
        <f t="shared" si="69"/>
        <v>359614425</v>
      </c>
      <c r="H89" s="25">
        <f>+'[14]SB 2020 2024'!$F$37</f>
        <v>411249000</v>
      </c>
      <c r="I89" s="25">
        <f t="shared" si="75"/>
        <v>51634575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6">
        <f>7000000+3000000+5000000-5000000-4000000</f>
        <v>6000000</v>
      </c>
      <c r="AG89" s="27">
        <f t="shared" si="58"/>
        <v>0.86922969511025594</v>
      </c>
      <c r="AH89" s="24">
        <f t="shared" si="44"/>
        <v>312587537</v>
      </c>
      <c r="AI89" s="24">
        <f>+[3]SEPTIEMBRE!$J$994</f>
        <v>23731165</v>
      </c>
      <c r="AJ89" s="24"/>
      <c r="AK89" s="24">
        <f>+[3]SEPTIEMBRE!$N$994</f>
        <v>24243035</v>
      </c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+[3]SEPTIEMBRE!$Z$994</f>
        <v>264613337</v>
      </c>
      <c r="AZ89" s="24"/>
      <c r="BA89" s="24"/>
      <c r="BB89" s="24"/>
      <c r="BC89" s="24"/>
      <c r="BD89" s="24"/>
      <c r="BE89" s="24"/>
      <c r="BF89" s="27">
        <f t="shared" si="61"/>
        <v>0.13077030488974406</v>
      </c>
      <c r="BG89" s="24">
        <f t="shared" si="70"/>
        <v>47026888</v>
      </c>
      <c r="BH89" s="24">
        <f t="shared" si="71"/>
        <v>0</v>
      </c>
      <c r="BI89" s="24">
        <f t="shared" si="71"/>
        <v>0</v>
      </c>
      <c r="BJ89" s="24">
        <f t="shared" si="71"/>
        <v>5640225</v>
      </c>
      <c r="BK89" s="24">
        <f t="shared" si="71"/>
        <v>0</v>
      </c>
      <c r="BL89" s="24">
        <f t="shared" si="71"/>
        <v>0</v>
      </c>
      <c r="BM89" s="24">
        <f t="shared" si="71"/>
        <v>0</v>
      </c>
      <c r="BN89" s="24">
        <f t="shared" si="71"/>
        <v>0</v>
      </c>
      <c r="BO89" s="24">
        <f t="shared" si="71"/>
        <v>0</v>
      </c>
      <c r="BP89" s="24">
        <f t="shared" si="71"/>
        <v>0</v>
      </c>
      <c r="BQ89" s="24">
        <f t="shared" si="71"/>
        <v>0</v>
      </c>
      <c r="BR89" s="24">
        <f t="shared" si="71"/>
        <v>0</v>
      </c>
      <c r="BS89" s="24">
        <f t="shared" si="71"/>
        <v>0</v>
      </c>
      <c r="BT89" s="24">
        <f t="shared" si="71"/>
        <v>0</v>
      </c>
      <c r="BU89" s="24">
        <f t="shared" si="71"/>
        <v>0</v>
      </c>
      <c r="BV89" s="24">
        <f t="shared" si="71"/>
        <v>0</v>
      </c>
      <c r="BW89" s="24">
        <f t="shared" si="71"/>
        <v>0</v>
      </c>
      <c r="BX89" s="24">
        <f t="shared" si="72"/>
        <v>35386663</v>
      </c>
      <c r="BY89" s="24">
        <f t="shared" si="72"/>
        <v>0</v>
      </c>
      <c r="BZ89" s="24">
        <f t="shared" si="72"/>
        <v>0</v>
      </c>
      <c r="CA89" s="24">
        <f t="shared" si="72"/>
        <v>0</v>
      </c>
      <c r="CB89" s="24">
        <f t="shared" si="72"/>
        <v>0</v>
      </c>
      <c r="CC89" s="24">
        <f t="shared" si="72"/>
        <v>0</v>
      </c>
      <c r="CD89" s="24">
        <f t="shared" si="72"/>
        <v>6000000</v>
      </c>
      <c r="CE89" s="27">
        <f t="shared" si="48"/>
        <v>0.47380376635336585</v>
      </c>
      <c r="CF89" s="24">
        <f t="shared" si="76"/>
        <v>170386669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+[4]JULIO!$H$847</f>
        <v>170386669</v>
      </c>
      <c r="CX89" s="24"/>
      <c r="CY89" s="24"/>
      <c r="CZ89" s="24"/>
      <c r="DA89" s="24"/>
      <c r="DB89" s="24"/>
      <c r="DC89" s="24"/>
      <c r="DD89" s="27">
        <f t="shared" si="59"/>
        <v>0.52619623364663415</v>
      </c>
      <c r="DE89" s="24">
        <f t="shared" si="50"/>
        <v>189227756</v>
      </c>
      <c r="DF89" s="24">
        <f t="shared" si="73"/>
        <v>23731165</v>
      </c>
      <c r="DG89" s="24">
        <f t="shared" si="73"/>
        <v>0</v>
      </c>
      <c r="DH89" s="24">
        <f t="shared" si="73"/>
        <v>29883260</v>
      </c>
      <c r="DI89" s="24">
        <f t="shared" si="73"/>
        <v>0</v>
      </c>
      <c r="DJ89" s="24">
        <f t="shared" si="73"/>
        <v>0</v>
      </c>
      <c r="DK89" s="24">
        <f t="shared" si="73"/>
        <v>0</v>
      </c>
      <c r="DL89" s="24">
        <f t="shared" si="73"/>
        <v>0</v>
      </c>
      <c r="DM89" s="24">
        <f t="shared" si="73"/>
        <v>0</v>
      </c>
      <c r="DN89" s="24">
        <f t="shared" si="73"/>
        <v>0</v>
      </c>
      <c r="DO89" s="24">
        <f t="shared" si="73"/>
        <v>0</v>
      </c>
      <c r="DP89" s="24">
        <f t="shared" si="73"/>
        <v>0</v>
      </c>
      <c r="DQ89" s="24">
        <f t="shared" si="73"/>
        <v>0</v>
      </c>
      <c r="DR89" s="24">
        <f t="shared" si="73"/>
        <v>0</v>
      </c>
      <c r="DS89" s="24">
        <f t="shared" si="73"/>
        <v>0</v>
      </c>
      <c r="DT89" s="24">
        <f t="shared" si="73"/>
        <v>0</v>
      </c>
      <c r="DU89" s="24">
        <f t="shared" si="73"/>
        <v>0</v>
      </c>
      <c r="DV89" s="24">
        <f t="shared" si="74"/>
        <v>129613331</v>
      </c>
      <c r="DW89" s="24">
        <f t="shared" si="74"/>
        <v>0</v>
      </c>
      <c r="DX89" s="24">
        <f t="shared" si="74"/>
        <v>0</v>
      </c>
      <c r="DY89" s="24">
        <f t="shared" si="74"/>
        <v>0</v>
      </c>
      <c r="DZ89" s="24">
        <f t="shared" si="74"/>
        <v>0</v>
      </c>
      <c r="EA89" s="24">
        <f t="shared" si="74"/>
        <v>0</v>
      </c>
      <c r="EB89" s="24">
        <f t="shared" si="74"/>
        <v>6000000</v>
      </c>
      <c r="ED89" s="31">
        <f t="shared" si="60"/>
        <v>359614425</v>
      </c>
      <c r="EE89" s="31">
        <f t="shared" si="62"/>
        <v>359614425</v>
      </c>
      <c r="EF89" s="31">
        <f t="shared" si="63"/>
        <v>359614425</v>
      </c>
    </row>
    <row r="90" spans="1:136" ht="71.45" customHeight="1" x14ac:dyDescent="0.25">
      <c r="A90" s="239"/>
      <c r="B90" s="228" t="s">
        <v>268</v>
      </c>
      <c r="C90" s="50" t="s">
        <v>269</v>
      </c>
      <c r="D90" s="35" t="s">
        <v>270</v>
      </c>
      <c r="E90" s="22">
        <v>301</v>
      </c>
      <c r="F90" s="23" t="s">
        <v>271</v>
      </c>
      <c r="G90" s="24">
        <f t="shared" si="69"/>
        <v>69519636</v>
      </c>
      <c r="H90" s="25">
        <f>+'[14]SB 2020 2024'!$F43</f>
        <v>70000000</v>
      </c>
      <c r="I90" s="25">
        <f t="shared" si="75"/>
        <v>480364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4000000+25000000+26000000+9101190+5000000-5000000+16019636-11500000</f>
        <v>68620826</v>
      </c>
      <c r="AG90" s="27">
        <f t="shared" si="58"/>
        <v>0.51743792214332074</v>
      </c>
      <c r="AH90" s="24">
        <f t="shared" si="44"/>
        <v>35972096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+[2]OCTUBRE!$AC$1112</f>
        <v>896896</v>
      </c>
      <c r="BC90" s="24"/>
      <c r="BD90" s="24"/>
      <c r="BE90" s="24">
        <f>+[2]OCTUBRE!$AG$1112</f>
        <v>35075200</v>
      </c>
      <c r="BF90" s="27">
        <f t="shared" si="61"/>
        <v>0.48256207785667926</v>
      </c>
      <c r="BG90" s="24">
        <f t="shared" si="70"/>
        <v>33547540</v>
      </c>
      <c r="BH90" s="24">
        <f t="shared" si="71"/>
        <v>0</v>
      </c>
      <c r="BI90" s="24">
        <f t="shared" si="71"/>
        <v>0</v>
      </c>
      <c r="BJ90" s="24">
        <f t="shared" si="71"/>
        <v>0</v>
      </c>
      <c r="BK90" s="24">
        <f t="shared" si="71"/>
        <v>0</v>
      </c>
      <c r="BL90" s="24">
        <f t="shared" si="71"/>
        <v>0</v>
      </c>
      <c r="BM90" s="24">
        <f t="shared" si="71"/>
        <v>0</v>
      </c>
      <c r="BN90" s="24">
        <f t="shared" si="71"/>
        <v>0</v>
      </c>
      <c r="BO90" s="24">
        <f t="shared" si="71"/>
        <v>0</v>
      </c>
      <c r="BP90" s="24">
        <f t="shared" si="71"/>
        <v>0</v>
      </c>
      <c r="BQ90" s="24">
        <f t="shared" si="71"/>
        <v>0</v>
      </c>
      <c r="BR90" s="24">
        <f t="shared" si="71"/>
        <v>0</v>
      </c>
      <c r="BS90" s="24">
        <f t="shared" si="71"/>
        <v>0</v>
      </c>
      <c r="BT90" s="24">
        <f t="shared" si="71"/>
        <v>0</v>
      </c>
      <c r="BU90" s="24">
        <f t="shared" si="71"/>
        <v>0</v>
      </c>
      <c r="BV90" s="24">
        <f t="shared" si="71"/>
        <v>0</v>
      </c>
      <c r="BW90" s="24">
        <f t="shared" si="71"/>
        <v>0</v>
      </c>
      <c r="BX90" s="24">
        <f t="shared" si="72"/>
        <v>0</v>
      </c>
      <c r="BY90" s="24">
        <f t="shared" si="72"/>
        <v>0</v>
      </c>
      <c r="BZ90" s="24">
        <f t="shared" si="72"/>
        <v>0</v>
      </c>
      <c r="CA90" s="24">
        <f t="shared" si="72"/>
        <v>1914</v>
      </c>
      <c r="CB90" s="24">
        <f t="shared" si="72"/>
        <v>0</v>
      </c>
      <c r="CC90" s="24">
        <f t="shared" si="72"/>
        <v>0</v>
      </c>
      <c r="CD90" s="24">
        <f t="shared" si="72"/>
        <v>33545626</v>
      </c>
      <c r="CE90" s="27">
        <f t="shared" si="48"/>
        <v>0.3606923373419274</v>
      </c>
      <c r="CF90" s="24">
        <f t="shared" si="76"/>
        <v>25075200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+'[5]FEBRERO 2020'!$H$1029</f>
        <v>25075200</v>
      </c>
      <c r="DD90" s="27">
        <f t="shared" si="59"/>
        <v>0.6393076626580726</v>
      </c>
      <c r="DE90" s="24">
        <f t="shared" si="50"/>
        <v>44444436</v>
      </c>
      <c r="DF90" s="24">
        <f t="shared" si="73"/>
        <v>0</v>
      </c>
      <c r="DG90" s="24">
        <f t="shared" si="73"/>
        <v>0</v>
      </c>
      <c r="DH90" s="24">
        <f t="shared" si="73"/>
        <v>0</v>
      </c>
      <c r="DI90" s="24">
        <f t="shared" si="73"/>
        <v>0</v>
      </c>
      <c r="DJ90" s="24">
        <f t="shared" si="73"/>
        <v>0</v>
      </c>
      <c r="DK90" s="24">
        <f t="shared" si="73"/>
        <v>0</v>
      </c>
      <c r="DL90" s="24">
        <f t="shared" si="73"/>
        <v>0</v>
      </c>
      <c r="DM90" s="24">
        <f t="shared" si="73"/>
        <v>0</v>
      </c>
      <c r="DN90" s="24">
        <f t="shared" si="73"/>
        <v>0</v>
      </c>
      <c r="DO90" s="24">
        <f t="shared" si="73"/>
        <v>0</v>
      </c>
      <c r="DP90" s="24">
        <f t="shared" si="73"/>
        <v>0</v>
      </c>
      <c r="DQ90" s="24">
        <f t="shared" si="73"/>
        <v>0</v>
      </c>
      <c r="DR90" s="24">
        <f t="shared" si="73"/>
        <v>0</v>
      </c>
      <c r="DS90" s="24">
        <f t="shared" si="73"/>
        <v>0</v>
      </c>
      <c r="DT90" s="24">
        <f t="shared" si="73"/>
        <v>0</v>
      </c>
      <c r="DU90" s="24">
        <f t="shared" si="73"/>
        <v>0</v>
      </c>
      <c r="DV90" s="24">
        <f t="shared" si="74"/>
        <v>0</v>
      </c>
      <c r="DW90" s="24">
        <f t="shared" si="74"/>
        <v>0</v>
      </c>
      <c r="DX90" s="24">
        <f t="shared" si="74"/>
        <v>0</v>
      </c>
      <c r="DY90" s="24">
        <f t="shared" si="74"/>
        <v>898810</v>
      </c>
      <c r="DZ90" s="24">
        <f t="shared" si="74"/>
        <v>0</v>
      </c>
      <c r="EA90" s="24">
        <f t="shared" si="74"/>
        <v>0</v>
      </c>
      <c r="EB90" s="24">
        <f t="shared" si="74"/>
        <v>43545626</v>
      </c>
      <c r="ED90" s="31">
        <f t="shared" si="60"/>
        <v>69519636</v>
      </c>
      <c r="EE90" s="31">
        <f t="shared" si="62"/>
        <v>69519636</v>
      </c>
      <c r="EF90" s="31">
        <f t="shared" si="63"/>
        <v>69519636</v>
      </c>
    </row>
    <row r="91" spans="1:136" ht="21" customHeight="1" x14ac:dyDescent="0.25">
      <c r="A91" s="239"/>
      <c r="B91" s="231"/>
      <c r="C91" s="50" t="s">
        <v>272</v>
      </c>
      <c r="D91" s="35" t="s">
        <v>273</v>
      </c>
      <c r="E91" s="22">
        <v>301</v>
      </c>
      <c r="F91" s="23" t="s">
        <v>240</v>
      </c>
      <c r="G91" s="24">
        <f t="shared" si="69"/>
        <v>95999999</v>
      </c>
      <c r="H91" s="25">
        <f>+'[14]SB 2020 2024'!$F45</f>
        <v>96000000</v>
      </c>
      <c r="I91" s="25">
        <f t="shared" si="75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7">
        <f t="shared" si="58"/>
        <v>0.65625000683593759</v>
      </c>
      <c r="AH91" s="24">
        <f t="shared" si="44"/>
        <v>63000000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+[4]JULIO!$AC$915</f>
        <v>63000000</v>
      </c>
      <c r="BC91" s="24"/>
      <c r="BD91" s="24"/>
      <c r="BE91" s="24"/>
      <c r="BF91" s="27">
        <f t="shared" si="61"/>
        <v>0.34374999316406241</v>
      </c>
      <c r="BG91" s="24">
        <f t="shared" si="70"/>
        <v>32999999</v>
      </c>
      <c r="BH91" s="24">
        <f t="shared" si="71"/>
        <v>0</v>
      </c>
      <c r="BI91" s="24">
        <f t="shared" si="71"/>
        <v>0</v>
      </c>
      <c r="BJ91" s="24">
        <f t="shared" si="71"/>
        <v>0</v>
      </c>
      <c r="BK91" s="24">
        <f t="shared" si="71"/>
        <v>0</v>
      </c>
      <c r="BL91" s="24">
        <f t="shared" si="71"/>
        <v>0</v>
      </c>
      <c r="BM91" s="24">
        <f t="shared" si="71"/>
        <v>0</v>
      </c>
      <c r="BN91" s="24">
        <f t="shared" si="71"/>
        <v>0</v>
      </c>
      <c r="BO91" s="24">
        <f t="shared" si="71"/>
        <v>0</v>
      </c>
      <c r="BP91" s="24">
        <f t="shared" si="71"/>
        <v>0</v>
      </c>
      <c r="BQ91" s="24">
        <f t="shared" si="71"/>
        <v>0</v>
      </c>
      <c r="BR91" s="24">
        <f t="shared" si="71"/>
        <v>0</v>
      </c>
      <c r="BS91" s="24">
        <f t="shared" si="71"/>
        <v>0</v>
      </c>
      <c r="BT91" s="24">
        <f t="shared" si="71"/>
        <v>0</v>
      </c>
      <c r="BU91" s="24">
        <f t="shared" si="71"/>
        <v>0</v>
      </c>
      <c r="BV91" s="24">
        <f t="shared" si="71"/>
        <v>0</v>
      </c>
      <c r="BW91" s="24">
        <f t="shared" si="71"/>
        <v>0</v>
      </c>
      <c r="BX91" s="24">
        <f t="shared" si="72"/>
        <v>0</v>
      </c>
      <c r="BY91" s="24">
        <f t="shared" si="72"/>
        <v>0</v>
      </c>
      <c r="BZ91" s="24">
        <f t="shared" si="72"/>
        <v>0</v>
      </c>
      <c r="CA91" s="24">
        <f t="shared" si="72"/>
        <v>32999999</v>
      </c>
      <c r="CB91" s="24">
        <f t="shared" si="72"/>
        <v>0</v>
      </c>
      <c r="CC91" s="24">
        <f t="shared" si="72"/>
        <v>0</v>
      </c>
      <c r="CD91" s="24">
        <f t="shared" si="72"/>
        <v>0</v>
      </c>
      <c r="CE91" s="27">
        <f t="shared" si="48"/>
        <v>0.57798611018735535</v>
      </c>
      <c r="CF91" s="24">
        <f t="shared" si="76"/>
        <v>55486666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+[3]SEPTIEMBRE!$H$1064</f>
        <v>55486666</v>
      </c>
      <c r="DA91" s="24"/>
      <c r="DB91" s="24"/>
      <c r="DC91" s="24"/>
      <c r="DD91" s="27">
        <f t="shared" si="59"/>
        <v>0.42201388981264465</v>
      </c>
      <c r="DE91" s="24">
        <f t="shared" si="50"/>
        <v>40513333</v>
      </c>
      <c r="DF91" s="24">
        <f t="shared" si="73"/>
        <v>0</v>
      </c>
      <c r="DG91" s="24">
        <f t="shared" si="73"/>
        <v>0</v>
      </c>
      <c r="DH91" s="24">
        <f t="shared" si="73"/>
        <v>0</v>
      </c>
      <c r="DI91" s="24">
        <f t="shared" si="73"/>
        <v>0</v>
      </c>
      <c r="DJ91" s="24">
        <f t="shared" si="73"/>
        <v>0</v>
      </c>
      <c r="DK91" s="24">
        <f t="shared" si="73"/>
        <v>0</v>
      </c>
      <c r="DL91" s="24">
        <f t="shared" si="73"/>
        <v>0</v>
      </c>
      <c r="DM91" s="24">
        <f t="shared" si="73"/>
        <v>0</v>
      </c>
      <c r="DN91" s="24">
        <f t="shared" si="73"/>
        <v>0</v>
      </c>
      <c r="DO91" s="24">
        <f t="shared" si="73"/>
        <v>0</v>
      </c>
      <c r="DP91" s="24">
        <f t="shared" si="73"/>
        <v>0</v>
      </c>
      <c r="DQ91" s="24">
        <f t="shared" si="73"/>
        <v>0</v>
      </c>
      <c r="DR91" s="24">
        <f t="shared" si="73"/>
        <v>0</v>
      </c>
      <c r="DS91" s="24">
        <f t="shared" si="73"/>
        <v>0</v>
      </c>
      <c r="DT91" s="24">
        <f t="shared" si="73"/>
        <v>0</v>
      </c>
      <c r="DU91" s="24">
        <f t="shared" si="73"/>
        <v>0</v>
      </c>
      <c r="DV91" s="24">
        <f t="shared" si="74"/>
        <v>0</v>
      </c>
      <c r="DW91" s="24">
        <f t="shared" si="74"/>
        <v>0</v>
      </c>
      <c r="DX91" s="24">
        <f t="shared" si="74"/>
        <v>0</v>
      </c>
      <c r="DY91" s="24">
        <f t="shared" si="74"/>
        <v>40513333</v>
      </c>
      <c r="DZ91" s="24">
        <f t="shared" si="74"/>
        <v>0</v>
      </c>
      <c r="EA91" s="24">
        <f t="shared" si="74"/>
        <v>0</v>
      </c>
      <c r="EB91" s="24">
        <f t="shared" si="74"/>
        <v>0</v>
      </c>
      <c r="ED91" s="31">
        <f t="shared" si="60"/>
        <v>95999999</v>
      </c>
      <c r="EE91" s="31">
        <f t="shared" si="62"/>
        <v>95999999</v>
      </c>
      <c r="EF91" s="31">
        <f t="shared" si="63"/>
        <v>95999999</v>
      </c>
    </row>
    <row r="92" spans="1:136" ht="19.149999999999999" customHeight="1" x14ac:dyDescent="0.25">
      <c r="A92" s="239"/>
      <c r="B92" s="229"/>
      <c r="C92" s="50" t="s">
        <v>274</v>
      </c>
      <c r="D92" s="35" t="s">
        <v>275</v>
      </c>
      <c r="E92" s="22">
        <v>301</v>
      </c>
      <c r="F92" s="23" t="s">
        <v>240</v>
      </c>
      <c r="G92" s="24">
        <f t="shared" si="69"/>
        <v>20000000</v>
      </c>
      <c r="H92" s="25">
        <f>+'[14]SB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7">
        <f t="shared" si="58"/>
        <v>9.4009999999999996E-2</v>
      </c>
      <c r="AH92" s="24">
        <f t="shared" si="44"/>
        <v>1880200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>
        <f>+[2]OCTUBRE!$AC$1158</f>
        <v>1880200</v>
      </c>
      <c r="BC92" s="24"/>
      <c r="BD92" s="24"/>
      <c r="BE92" s="24"/>
      <c r="BF92" s="27">
        <f t="shared" si="61"/>
        <v>0.90598999999999996</v>
      </c>
      <c r="BG92" s="24">
        <f t="shared" si="70"/>
        <v>18119800</v>
      </c>
      <c r="BH92" s="24">
        <f t="shared" si="71"/>
        <v>0</v>
      </c>
      <c r="BI92" s="24">
        <f t="shared" si="71"/>
        <v>0</v>
      </c>
      <c r="BJ92" s="24">
        <f t="shared" si="71"/>
        <v>0</v>
      </c>
      <c r="BK92" s="24">
        <f t="shared" si="71"/>
        <v>0</v>
      </c>
      <c r="BL92" s="24">
        <f t="shared" si="71"/>
        <v>0</v>
      </c>
      <c r="BM92" s="24">
        <f t="shared" si="71"/>
        <v>0</v>
      </c>
      <c r="BN92" s="24">
        <f t="shared" si="71"/>
        <v>0</v>
      </c>
      <c r="BO92" s="24">
        <f t="shared" si="71"/>
        <v>0</v>
      </c>
      <c r="BP92" s="24">
        <f t="shared" si="71"/>
        <v>0</v>
      </c>
      <c r="BQ92" s="24">
        <f t="shared" si="71"/>
        <v>0</v>
      </c>
      <c r="BR92" s="24">
        <f t="shared" si="71"/>
        <v>0</v>
      </c>
      <c r="BS92" s="24">
        <f t="shared" si="71"/>
        <v>0</v>
      </c>
      <c r="BT92" s="24">
        <f t="shared" si="71"/>
        <v>0</v>
      </c>
      <c r="BU92" s="24">
        <f t="shared" si="71"/>
        <v>0</v>
      </c>
      <c r="BV92" s="24">
        <f t="shared" si="71"/>
        <v>0</v>
      </c>
      <c r="BW92" s="24">
        <f t="shared" si="71"/>
        <v>0</v>
      </c>
      <c r="BX92" s="24">
        <f t="shared" si="72"/>
        <v>0</v>
      </c>
      <c r="BY92" s="24">
        <f t="shared" si="72"/>
        <v>0</v>
      </c>
      <c r="BZ92" s="24">
        <f t="shared" si="72"/>
        <v>0</v>
      </c>
      <c r="CA92" s="24">
        <f t="shared" si="72"/>
        <v>18119800</v>
      </c>
      <c r="CB92" s="24">
        <f t="shared" si="72"/>
        <v>0</v>
      </c>
      <c r="CC92" s="24">
        <f t="shared" si="72"/>
        <v>0</v>
      </c>
      <c r="CD92" s="24">
        <f t="shared" si="72"/>
        <v>0</v>
      </c>
      <c r="CE92" s="27">
        <f t="shared" si="48"/>
        <v>0</v>
      </c>
      <c r="CF92" s="24">
        <f t="shared" si="76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7">
        <f t="shared" si="59"/>
        <v>1</v>
      </c>
      <c r="DE92" s="24">
        <f t="shared" si="50"/>
        <v>20000000</v>
      </c>
      <c r="DF92" s="24">
        <f t="shared" si="73"/>
        <v>0</v>
      </c>
      <c r="DG92" s="24">
        <f t="shared" si="73"/>
        <v>0</v>
      </c>
      <c r="DH92" s="24">
        <f t="shared" si="73"/>
        <v>0</v>
      </c>
      <c r="DI92" s="24">
        <f t="shared" si="73"/>
        <v>0</v>
      </c>
      <c r="DJ92" s="24">
        <f t="shared" si="73"/>
        <v>0</v>
      </c>
      <c r="DK92" s="24">
        <f t="shared" si="73"/>
        <v>0</v>
      </c>
      <c r="DL92" s="24">
        <f t="shared" si="73"/>
        <v>0</v>
      </c>
      <c r="DM92" s="24">
        <f t="shared" si="73"/>
        <v>0</v>
      </c>
      <c r="DN92" s="24">
        <f t="shared" si="73"/>
        <v>0</v>
      </c>
      <c r="DO92" s="24">
        <f t="shared" si="73"/>
        <v>0</v>
      </c>
      <c r="DP92" s="24">
        <f t="shared" si="73"/>
        <v>0</v>
      </c>
      <c r="DQ92" s="24">
        <f t="shared" si="73"/>
        <v>0</v>
      </c>
      <c r="DR92" s="24">
        <f t="shared" si="73"/>
        <v>0</v>
      </c>
      <c r="DS92" s="24">
        <f t="shared" si="73"/>
        <v>0</v>
      </c>
      <c r="DT92" s="24">
        <f t="shared" si="73"/>
        <v>0</v>
      </c>
      <c r="DU92" s="24">
        <f t="shared" si="73"/>
        <v>0</v>
      </c>
      <c r="DV92" s="24">
        <f t="shared" si="74"/>
        <v>0</v>
      </c>
      <c r="DW92" s="24">
        <f t="shared" si="74"/>
        <v>0</v>
      </c>
      <c r="DX92" s="24">
        <f t="shared" si="74"/>
        <v>0</v>
      </c>
      <c r="DY92" s="24">
        <f t="shared" si="74"/>
        <v>20000000</v>
      </c>
      <c r="DZ92" s="24">
        <f t="shared" si="74"/>
        <v>0</v>
      </c>
      <c r="EA92" s="24">
        <f t="shared" si="74"/>
        <v>0</v>
      </c>
      <c r="EB92" s="24">
        <f t="shared" si="74"/>
        <v>0</v>
      </c>
      <c r="ED92" s="31">
        <f t="shared" si="60"/>
        <v>20000000</v>
      </c>
      <c r="EE92" s="31">
        <f t="shared" si="62"/>
        <v>20000000</v>
      </c>
      <c r="EF92" s="31">
        <f t="shared" si="63"/>
        <v>20000000</v>
      </c>
    </row>
    <row r="93" spans="1:136" ht="22.15" customHeight="1" x14ac:dyDescent="0.25">
      <c r="A93" s="239"/>
      <c r="B93" s="241" t="s">
        <v>276</v>
      </c>
      <c r="C93" s="50" t="s">
        <v>277</v>
      </c>
      <c r="D93" s="21" t="s">
        <v>278</v>
      </c>
      <c r="E93" s="51">
        <v>301</v>
      </c>
      <c r="F93" s="53" t="s">
        <v>240</v>
      </c>
      <c r="G93" s="24">
        <f t="shared" si="69"/>
        <v>65000000</v>
      </c>
      <c r="H93" s="71">
        <f>+'[14]SB 2020 2024'!$F52</f>
        <v>65000000</v>
      </c>
      <c r="I93" s="71">
        <f t="shared" si="75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7">
        <f t="shared" si="58"/>
        <v>0.99471792307692308</v>
      </c>
      <c r="AH93" s="24">
        <f t="shared" si="44"/>
        <v>64656665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+[3]SEPTIEMBRE!$Z$1100</f>
        <v>64656665</v>
      </c>
      <c r="AZ93" s="24"/>
      <c r="BA93" s="24"/>
      <c r="BB93" s="24"/>
      <c r="BC93" s="24"/>
      <c r="BD93" s="24"/>
      <c r="BE93" s="24"/>
      <c r="BF93" s="27">
        <f t="shared" si="61"/>
        <v>5.2820769230769171E-3</v>
      </c>
      <c r="BG93" s="24">
        <f t="shared" si="70"/>
        <v>343335</v>
      </c>
      <c r="BH93" s="24">
        <f t="shared" si="71"/>
        <v>0</v>
      </c>
      <c r="BI93" s="24">
        <f t="shared" si="71"/>
        <v>0</v>
      </c>
      <c r="BJ93" s="24">
        <f t="shared" si="71"/>
        <v>0</v>
      </c>
      <c r="BK93" s="24">
        <f t="shared" si="71"/>
        <v>0</v>
      </c>
      <c r="BL93" s="24">
        <f t="shared" si="71"/>
        <v>0</v>
      </c>
      <c r="BM93" s="24">
        <f t="shared" si="71"/>
        <v>0</v>
      </c>
      <c r="BN93" s="24">
        <f t="shared" si="71"/>
        <v>0</v>
      </c>
      <c r="BO93" s="24">
        <f t="shared" si="71"/>
        <v>0</v>
      </c>
      <c r="BP93" s="24">
        <f t="shared" si="71"/>
        <v>0</v>
      </c>
      <c r="BQ93" s="24">
        <f t="shared" si="71"/>
        <v>0</v>
      </c>
      <c r="BR93" s="24">
        <f t="shared" si="71"/>
        <v>0</v>
      </c>
      <c r="BS93" s="24">
        <f t="shared" si="71"/>
        <v>0</v>
      </c>
      <c r="BT93" s="24">
        <f t="shared" si="71"/>
        <v>0</v>
      </c>
      <c r="BU93" s="24">
        <f t="shared" si="71"/>
        <v>0</v>
      </c>
      <c r="BV93" s="24">
        <f t="shared" si="71"/>
        <v>0</v>
      </c>
      <c r="BW93" s="24">
        <f t="shared" ref="BW93:BW96" si="77">+Y93-AX93</f>
        <v>0</v>
      </c>
      <c r="BX93" s="24">
        <f t="shared" si="72"/>
        <v>343335</v>
      </c>
      <c r="BY93" s="24">
        <f t="shared" si="72"/>
        <v>0</v>
      </c>
      <c r="BZ93" s="24">
        <f t="shared" si="72"/>
        <v>0</v>
      </c>
      <c r="CA93" s="24">
        <f t="shared" si="72"/>
        <v>0</v>
      </c>
      <c r="CB93" s="24">
        <f t="shared" si="72"/>
        <v>0</v>
      </c>
      <c r="CC93" s="24">
        <f t="shared" si="72"/>
        <v>0</v>
      </c>
      <c r="CD93" s="24">
        <f t="shared" si="72"/>
        <v>0</v>
      </c>
      <c r="CE93" s="27">
        <f t="shared" si="48"/>
        <v>0.99471792307692308</v>
      </c>
      <c r="CF93" s="24">
        <f t="shared" si="76"/>
        <v>64656665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+[3]SEPTIEMBRE!$H$1098</f>
        <v>64656665</v>
      </c>
      <c r="CX93" s="24"/>
      <c r="CY93" s="24"/>
      <c r="CZ93" s="24"/>
      <c r="DA93" s="24"/>
      <c r="DB93" s="24"/>
      <c r="DC93" s="24"/>
      <c r="DD93" s="27">
        <f t="shared" si="59"/>
        <v>5.2820769230769171E-3</v>
      </c>
      <c r="DE93" s="24">
        <f t="shared" si="50"/>
        <v>343335</v>
      </c>
      <c r="DF93" s="24">
        <f t="shared" si="73"/>
        <v>0</v>
      </c>
      <c r="DG93" s="24">
        <f t="shared" si="73"/>
        <v>0</v>
      </c>
      <c r="DH93" s="24">
        <f t="shared" si="73"/>
        <v>0</v>
      </c>
      <c r="DI93" s="24">
        <f t="shared" si="73"/>
        <v>0</v>
      </c>
      <c r="DJ93" s="24">
        <f t="shared" si="73"/>
        <v>0</v>
      </c>
      <c r="DK93" s="24">
        <f t="shared" si="73"/>
        <v>0</v>
      </c>
      <c r="DL93" s="24">
        <f t="shared" si="73"/>
        <v>0</v>
      </c>
      <c r="DM93" s="24">
        <f t="shared" si="73"/>
        <v>0</v>
      </c>
      <c r="DN93" s="24">
        <f t="shared" si="73"/>
        <v>0</v>
      </c>
      <c r="DO93" s="24">
        <f t="shared" si="73"/>
        <v>0</v>
      </c>
      <c r="DP93" s="24">
        <f t="shared" si="73"/>
        <v>0</v>
      </c>
      <c r="DQ93" s="24">
        <f t="shared" si="73"/>
        <v>0</v>
      </c>
      <c r="DR93" s="24">
        <f t="shared" si="73"/>
        <v>0</v>
      </c>
      <c r="DS93" s="24">
        <f t="shared" si="73"/>
        <v>0</v>
      </c>
      <c r="DT93" s="24">
        <f t="shared" si="73"/>
        <v>0</v>
      </c>
      <c r="DU93" s="24">
        <f t="shared" ref="DU93:DU96" si="78">+Y93-CV93</f>
        <v>0</v>
      </c>
      <c r="DV93" s="24">
        <f t="shared" si="74"/>
        <v>343335</v>
      </c>
      <c r="DW93" s="24">
        <f t="shared" si="74"/>
        <v>0</v>
      </c>
      <c r="DX93" s="24">
        <f t="shared" si="74"/>
        <v>0</v>
      </c>
      <c r="DY93" s="24">
        <f t="shared" si="74"/>
        <v>0</v>
      </c>
      <c r="DZ93" s="24">
        <f t="shared" si="74"/>
        <v>0</v>
      </c>
      <c r="EA93" s="24">
        <f t="shared" si="74"/>
        <v>0</v>
      </c>
      <c r="EB93" s="24">
        <f t="shared" si="74"/>
        <v>0</v>
      </c>
      <c r="ED93" s="31">
        <f t="shared" si="60"/>
        <v>65000000</v>
      </c>
      <c r="EE93" s="31">
        <f t="shared" si="62"/>
        <v>65000000</v>
      </c>
      <c r="EF93" s="31">
        <f t="shared" si="63"/>
        <v>65000000</v>
      </c>
    </row>
    <row r="94" spans="1:136" ht="21" customHeight="1" x14ac:dyDescent="0.25">
      <c r="A94" s="239"/>
      <c r="B94" s="242"/>
      <c r="C94" s="50" t="s">
        <v>279</v>
      </c>
      <c r="D94" s="75" t="s">
        <v>280</v>
      </c>
      <c r="E94" s="22">
        <v>301</v>
      </c>
      <c r="F94" s="23" t="s">
        <v>240</v>
      </c>
      <c r="G94" s="24">
        <f t="shared" si="69"/>
        <v>1662500000</v>
      </c>
      <c r="H94" s="25">
        <f>+'[14]SB 2020 2024'!$F53</f>
        <v>1662500000</v>
      </c>
      <c r="I94" s="25">
        <f t="shared" si="75"/>
        <v>0</v>
      </c>
      <c r="J94" s="76">
        <f>300000000+48200000+24792255</f>
        <v>372992255</v>
      </c>
      <c r="K94" s="76"/>
      <c r="L94" s="76"/>
      <c r="M94" s="24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7">
        <v>1289507745</v>
      </c>
      <c r="AD94" s="76"/>
      <c r="AE94" s="76"/>
      <c r="AF94" s="76">
        <v>0</v>
      </c>
      <c r="AG94" s="27">
        <f t="shared" si="58"/>
        <v>0.24193478436090227</v>
      </c>
      <c r="AH94" s="24">
        <f t="shared" si="44"/>
        <v>402216579</v>
      </c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>
        <f>+[2]OCTUBRE!$AC$1186</f>
        <v>402216579</v>
      </c>
      <c r="BC94" s="76"/>
      <c r="BD94" s="76"/>
      <c r="BE94" s="76"/>
      <c r="BF94" s="27">
        <f t="shared" si="61"/>
        <v>0.75806521563909768</v>
      </c>
      <c r="BG94" s="24">
        <f t="shared" si="70"/>
        <v>1260283421</v>
      </c>
      <c r="BH94" s="24">
        <f t="shared" ref="BH94:BV96" si="79">+J94-AI94</f>
        <v>372992255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72"/>
        <v>0</v>
      </c>
      <c r="BY94" s="24">
        <f t="shared" si="72"/>
        <v>0</v>
      </c>
      <c r="BZ94" s="24">
        <f t="shared" si="72"/>
        <v>0</v>
      </c>
      <c r="CA94" s="24">
        <f t="shared" si="72"/>
        <v>887291166</v>
      </c>
      <c r="CB94" s="24">
        <f t="shared" si="72"/>
        <v>0</v>
      </c>
      <c r="CC94" s="24">
        <f t="shared" si="72"/>
        <v>0</v>
      </c>
      <c r="CD94" s="24">
        <f t="shared" si="72"/>
        <v>0</v>
      </c>
      <c r="CE94" s="27">
        <f t="shared" si="48"/>
        <v>8.0720709774436086E-2</v>
      </c>
      <c r="CF94" s="24">
        <f t="shared" si="76"/>
        <v>134198180</v>
      </c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>
        <f>+[2]OCTUBRE!$H$1184</f>
        <v>134198180</v>
      </c>
      <c r="DA94" s="76"/>
      <c r="DB94" s="76"/>
      <c r="DC94" s="76"/>
      <c r="DD94" s="27">
        <f t="shared" si="59"/>
        <v>0.91927929022556387</v>
      </c>
      <c r="DE94" s="24">
        <f t="shared" si="50"/>
        <v>1528301820</v>
      </c>
      <c r="DF94" s="24">
        <f t="shared" ref="DF94:DT96" si="80">+J94-CG94</f>
        <v>372992255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4"/>
        <v>0</v>
      </c>
      <c r="DW94" s="24">
        <f t="shared" si="74"/>
        <v>0</v>
      </c>
      <c r="DX94" s="24">
        <f t="shared" si="74"/>
        <v>0</v>
      </c>
      <c r="DY94" s="24">
        <f t="shared" si="74"/>
        <v>1155309565</v>
      </c>
      <c r="DZ94" s="24">
        <f t="shared" si="74"/>
        <v>0</v>
      </c>
      <c r="EA94" s="24">
        <f t="shared" si="74"/>
        <v>0</v>
      </c>
      <c r="EB94" s="24">
        <f t="shared" si="74"/>
        <v>0</v>
      </c>
      <c r="ED94" s="31">
        <f t="shared" si="60"/>
        <v>1662500000</v>
      </c>
      <c r="EE94" s="31">
        <f t="shared" si="62"/>
        <v>1662500000</v>
      </c>
      <c r="EF94" s="31">
        <f t="shared" si="63"/>
        <v>1662500000</v>
      </c>
    </row>
    <row r="95" spans="1:136" ht="21" customHeight="1" x14ac:dyDescent="0.25">
      <c r="A95" s="239"/>
      <c r="B95" s="242"/>
      <c r="C95" s="50" t="s">
        <v>281</v>
      </c>
      <c r="D95" s="75" t="s">
        <v>282</v>
      </c>
      <c r="E95" s="22">
        <v>301</v>
      </c>
      <c r="F95" s="23" t="s">
        <v>240</v>
      </c>
      <c r="G95" s="24">
        <f t="shared" si="69"/>
        <v>530248273</v>
      </c>
      <c r="H95" s="25">
        <f>+'[14]SB 2020 2024'!$F55</f>
        <v>780000000</v>
      </c>
      <c r="I95" s="25">
        <f t="shared" si="75"/>
        <v>249751727</v>
      </c>
      <c r="J95" s="76"/>
      <c r="K95" s="76"/>
      <c r="L95" s="76"/>
      <c r="M95" s="24">
        <v>34553122</v>
      </c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>
        <v>228191795</v>
      </c>
      <c r="AA95" s="76">
        <v>186024097</v>
      </c>
      <c r="AB95" s="76">
        <v>13975903</v>
      </c>
      <c r="AC95" s="24">
        <v>49503356</v>
      </c>
      <c r="AD95" s="76"/>
      <c r="AE95" s="76"/>
      <c r="AF95" s="78">
        <f>7000000+11000000</f>
        <v>18000000</v>
      </c>
      <c r="AG95" s="27">
        <f t="shared" si="58"/>
        <v>0.87266207842981514</v>
      </c>
      <c r="AH95" s="24">
        <f t="shared" si="44"/>
        <v>462727560</v>
      </c>
      <c r="AI95" s="76"/>
      <c r="AJ95" s="76"/>
      <c r="AK95" s="76"/>
      <c r="AL95" s="76">
        <f>+[2]OCTUBRE!$L$1207</f>
        <v>20000000</v>
      </c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>
        <f>+[2]OCTUBRE!$Z$1207</f>
        <v>227771151</v>
      </c>
      <c r="AZ95" s="76">
        <f>+[2]OCTUBRE!$AA$1207</f>
        <v>144029244</v>
      </c>
      <c r="BA95" s="76">
        <f>+[3]SEPTIEMBRE!$AB$1142</f>
        <v>13620000</v>
      </c>
      <c r="BB95" s="76">
        <f>+[3]SEPTIEMBRE!$AC$1142</f>
        <v>39307165</v>
      </c>
      <c r="BC95" s="76"/>
      <c r="BD95" s="76"/>
      <c r="BE95" s="76">
        <f>+[2]OCTUBRE!$AG$1207</f>
        <v>18000000</v>
      </c>
      <c r="BF95" s="27">
        <f t="shared" si="61"/>
        <v>0.12733792157018486</v>
      </c>
      <c r="BG95" s="24">
        <f t="shared" si="70"/>
        <v>67520713</v>
      </c>
      <c r="BH95" s="24">
        <f t="shared" si="79"/>
        <v>0</v>
      </c>
      <c r="BI95" s="24">
        <f t="shared" si="79"/>
        <v>0</v>
      </c>
      <c r="BJ95" s="24">
        <f t="shared" si="79"/>
        <v>0</v>
      </c>
      <c r="BK95" s="24">
        <f t="shared" si="79"/>
        <v>14553122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72"/>
        <v>420644</v>
      </c>
      <c r="BY95" s="24">
        <f t="shared" si="72"/>
        <v>41994853</v>
      </c>
      <c r="BZ95" s="24">
        <f t="shared" si="72"/>
        <v>355903</v>
      </c>
      <c r="CA95" s="24">
        <f t="shared" si="72"/>
        <v>10196191</v>
      </c>
      <c r="CB95" s="24">
        <f t="shared" si="72"/>
        <v>0</v>
      </c>
      <c r="CC95" s="24">
        <f t="shared" si="72"/>
        <v>0</v>
      </c>
      <c r="CD95" s="24">
        <f t="shared" si="72"/>
        <v>0</v>
      </c>
      <c r="CE95" s="27">
        <f t="shared" si="48"/>
        <v>0.75492575154506913</v>
      </c>
      <c r="CF95" s="24">
        <f t="shared" si="76"/>
        <v>400298076</v>
      </c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>
        <f>+[2]OCTUBRE!$H$1208+[2]OCTUBRE!$H$1212+[2]OCTUBRE!$H$1218+[2]OCTUBRE!$H$1225+[2]OCTUBRE!$H$1229+[2]OCTUBRE!$H$1233+[2]OCTUBRE!$H$1280+[2]OCTUBRE!$H$1287+[2]OCTUBRE!$H$1332</f>
        <v>189537167</v>
      </c>
      <c r="CX95" s="76">
        <f>+[2]OCTUBRE!$H$1308+[2]OCTUBRE!$H$1315+[2]OCTUBRE!$H$1323+[2]OCTUBRE!$H$1338+[2]OCTUBRE!$H$1341+[2]OCTUBRE!$H$1344+[2]OCTUBRE!$H$1347+[2]OCTUBRE!$H$1354+[2]OCTUBRE!$H$1384+[2]OCTUBRE!$H$1387+[2]OCTUBRE!$H$1403</f>
        <v>141620104</v>
      </c>
      <c r="CY95" s="76">
        <f>+[2]OCTUBRE!$H$1302+[2]OCTUBRE!$H$1397</f>
        <v>13620000</v>
      </c>
      <c r="CZ95" s="76">
        <f>+[2]OCTUBRE!$H$1237+[2]OCTUBRE!$H$1242+[2]OCTUBRE!$H$1272+[2]OCTUBRE!$H$1276+[2]OCTUBRE!$H$1294+[2]OCTUBRE!$H$1299</f>
        <v>37771005</v>
      </c>
      <c r="DA95" s="76"/>
      <c r="DB95" s="76"/>
      <c r="DC95" s="76">
        <f>+[2]OCTUBRE!$H$1408</f>
        <v>17749800</v>
      </c>
      <c r="DD95" s="27">
        <f t="shared" si="59"/>
        <v>0.24507424845493087</v>
      </c>
      <c r="DE95" s="24">
        <f t="shared" si="50"/>
        <v>129950197</v>
      </c>
      <c r="DF95" s="24">
        <f t="shared" si="80"/>
        <v>0</v>
      </c>
      <c r="DG95" s="24">
        <f t="shared" si="80"/>
        <v>0</v>
      </c>
      <c r="DH95" s="24">
        <f t="shared" si="80"/>
        <v>0</v>
      </c>
      <c r="DI95" s="24">
        <f t="shared" si="80"/>
        <v>34553122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4"/>
        <v>38654628</v>
      </c>
      <c r="DW95" s="24">
        <f t="shared" si="74"/>
        <v>44403993</v>
      </c>
      <c r="DX95" s="24">
        <f t="shared" si="74"/>
        <v>355903</v>
      </c>
      <c r="DY95" s="24">
        <f t="shared" si="74"/>
        <v>11732351</v>
      </c>
      <c r="DZ95" s="24">
        <f t="shared" si="74"/>
        <v>0</v>
      </c>
      <c r="EA95" s="24">
        <f t="shared" si="74"/>
        <v>0</v>
      </c>
      <c r="EB95" s="24">
        <f t="shared" si="74"/>
        <v>250200</v>
      </c>
      <c r="ED95" s="31">
        <f t="shared" si="60"/>
        <v>530248273</v>
      </c>
      <c r="EE95" s="31">
        <f t="shared" si="62"/>
        <v>530248273</v>
      </c>
      <c r="EF95" s="31">
        <f t="shared" si="63"/>
        <v>530248273</v>
      </c>
    </row>
    <row r="96" spans="1:136" ht="22.5" customHeight="1" x14ac:dyDescent="0.25">
      <c r="A96" s="240"/>
      <c r="B96" s="243"/>
      <c r="C96" s="50" t="s">
        <v>283</v>
      </c>
      <c r="D96" s="75" t="s">
        <v>284</v>
      </c>
      <c r="E96" s="22">
        <v>301</v>
      </c>
      <c r="F96" s="23" t="s">
        <v>240</v>
      </c>
      <c r="G96" s="24">
        <f t="shared" si="69"/>
        <v>200000000</v>
      </c>
      <c r="H96" s="25">
        <f>+'[14]SB 2020 2024'!$F56</f>
        <v>200000000</v>
      </c>
      <c r="I96" s="25">
        <f t="shared" si="75"/>
        <v>0</v>
      </c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>
        <v>200000000</v>
      </c>
      <c r="AA96" s="76"/>
      <c r="AB96" s="76"/>
      <c r="AC96" s="24"/>
      <c r="AD96" s="76"/>
      <c r="AE96" s="76"/>
      <c r="AF96" s="76">
        <v>0</v>
      </c>
      <c r="AG96" s="27">
        <f t="shared" si="58"/>
        <v>1</v>
      </c>
      <c r="AH96" s="24">
        <f t="shared" si="44"/>
        <v>200000000</v>
      </c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>
        <f>+[4]JULIO!$Z$1134</f>
        <v>200000000</v>
      </c>
      <c r="AZ96" s="76"/>
      <c r="BA96" s="76"/>
      <c r="BB96" s="76"/>
      <c r="BC96" s="76"/>
      <c r="BD96" s="76"/>
      <c r="BE96" s="76"/>
      <c r="BF96" s="27">
        <f t="shared" si="61"/>
        <v>0</v>
      </c>
      <c r="BG96" s="24">
        <f t="shared" si="70"/>
        <v>0</v>
      </c>
      <c r="BH96" s="24">
        <f t="shared" si="79"/>
        <v>0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72"/>
        <v>0</v>
      </c>
      <c r="BY96" s="24">
        <f t="shared" si="72"/>
        <v>0</v>
      </c>
      <c r="BZ96" s="24">
        <f t="shared" si="72"/>
        <v>0</v>
      </c>
      <c r="CA96" s="24">
        <f t="shared" si="72"/>
        <v>0</v>
      </c>
      <c r="CB96" s="24">
        <f t="shared" si="72"/>
        <v>0</v>
      </c>
      <c r="CC96" s="24">
        <f t="shared" si="72"/>
        <v>0</v>
      </c>
      <c r="CD96" s="24">
        <f t="shared" si="72"/>
        <v>0</v>
      </c>
      <c r="CE96" s="27">
        <f t="shared" si="48"/>
        <v>0.924199985</v>
      </c>
      <c r="CF96" s="24">
        <f t="shared" si="76"/>
        <v>184839997</v>
      </c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>
        <f>+[3]SEPTIEMBRE!$H$1334+[2]OCTUBRE!$H$1445</f>
        <v>184839997</v>
      </c>
      <c r="CX96" s="76"/>
      <c r="CY96" s="76"/>
      <c r="CZ96" s="76"/>
      <c r="DA96" s="76"/>
      <c r="DB96" s="76"/>
      <c r="DC96" s="76"/>
      <c r="DD96" s="27">
        <f t="shared" si="59"/>
        <v>7.5800014999999998E-2</v>
      </c>
      <c r="DE96" s="24">
        <f t="shared" si="50"/>
        <v>15160003</v>
      </c>
      <c r="DF96" s="24">
        <f t="shared" si="80"/>
        <v>0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4"/>
        <v>15160003</v>
      </c>
      <c r="DW96" s="24">
        <f t="shared" si="74"/>
        <v>0</v>
      </c>
      <c r="DX96" s="24">
        <f t="shared" si="74"/>
        <v>0</v>
      </c>
      <c r="DY96" s="24">
        <f t="shared" si="74"/>
        <v>0</v>
      </c>
      <c r="DZ96" s="24">
        <f t="shared" si="74"/>
        <v>0</v>
      </c>
      <c r="EA96" s="24">
        <f t="shared" si="74"/>
        <v>0</v>
      </c>
      <c r="EB96" s="24">
        <f t="shared" si="74"/>
        <v>0</v>
      </c>
      <c r="ED96" s="31">
        <f t="shared" si="60"/>
        <v>200000000</v>
      </c>
      <c r="EE96" s="31">
        <f t="shared" si="62"/>
        <v>200000000</v>
      </c>
      <c r="EF96" s="31">
        <f t="shared" si="63"/>
        <v>200000000</v>
      </c>
    </row>
    <row r="97" spans="1:136" s="44" customFormat="1" ht="21" customHeight="1" thickBot="1" x14ac:dyDescent="0.3">
      <c r="A97" s="67"/>
      <c r="B97" s="252" t="s">
        <v>285</v>
      </c>
      <c r="C97" s="253"/>
      <c r="D97" s="253"/>
      <c r="E97" s="253"/>
      <c r="F97" s="254"/>
      <c r="G97" s="58">
        <f t="shared" ref="G97:AF97" si="81">SUM(G78:G96)</f>
        <v>3893748088</v>
      </c>
      <c r="H97" s="58">
        <f t="shared" si="81"/>
        <v>4682573500</v>
      </c>
      <c r="I97" s="58">
        <f t="shared" si="81"/>
        <v>788825412</v>
      </c>
      <c r="J97" s="58">
        <f t="shared" si="81"/>
        <v>496723420</v>
      </c>
      <c r="K97" s="58">
        <f t="shared" si="81"/>
        <v>0</v>
      </c>
      <c r="L97" s="58">
        <f t="shared" si="81"/>
        <v>29883260</v>
      </c>
      <c r="M97" s="58">
        <f t="shared" si="81"/>
        <v>34553122</v>
      </c>
      <c r="N97" s="58">
        <f t="shared" si="81"/>
        <v>0</v>
      </c>
      <c r="O97" s="58">
        <f t="shared" si="81"/>
        <v>0</v>
      </c>
      <c r="P97" s="58">
        <f t="shared" si="81"/>
        <v>0</v>
      </c>
      <c r="Q97" s="58">
        <f t="shared" si="81"/>
        <v>0</v>
      </c>
      <c r="R97" s="58">
        <f t="shared" si="81"/>
        <v>0</v>
      </c>
      <c r="S97" s="58">
        <f t="shared" si="81"/>
        <v>0</v>
      </c>
      <c r="T97" s="58">
        <f t="shared" si="81"/>
        <v>0</v>
      </c>
      <c r="U97" s="58">
        <f t="shared" si="81"/>
        <v>0</v>
      </c>
      <c r="V97" s="58">
        <f t="shared" si="81"/>
        <v>0</v>
      </c>
      <c r="W97" s="58">
        <f t="shared" si="81"/>
        <v>0</v>
      </c>
      <c r="X97" s="58">
        <f t="shared" si="81"/>
        <v>0</v>
      </c>
      <c r="Y97" s="58">
        <f t="shared" si="81"/>
        <v>0</v>
      </c>
      <c r="Z97" s="58">
        <f t="shared" si="81"/>
        <v>1195065295</v>
      </c>
      <c r="AA97" s="58">
        <f t="shared" si="81"/>
        <v>186024097</v>
      </c>
      <c r="AB97" s="58">
        <f t="shared" si="81"/>
        <v>13975903</v>
      </c>
      <c r="AC97" s="58">
        <f t="shared" si="81"/>
        <v>1828902165</v>
      </c>
      <c r="AD97" s="58">
        <f t="shared" si="81"/>
        <v>0</v>
      </c>
      <c r="AE97" s="58">
        <f t="shared" si="81"/>
        <v>0</v>
      </c>
      <c r="AF97" s="58">
        <f t="shared" si="81"/>
        <v>108620826</v>
      </c>
      <c r="AG97" s="59">
        <f t="shared" si="58"/>
        <v>0.58005224091425611</v>
      </c>
      <c r="AH97" s="58">
        <f>SUM(AH78:AH96)</f>
        <v>2258577304</v>
      </c>
      <c r="AI97" s="58">
        <f>SUM(AI78:AI96)</f>
        <v>123731165</v>
      </c>
      <c r="AJ97" s="58">
        <f>SUM(AJ78:AJ96)</f>
        <v>0</v>
      </c>
      <c r="AK97" s="58">
        <f>SUM(AK78:AK96)</f>
        <v>24243035</v>
      </c>
      <c r="AL97" s="58">
        <f>SUM(AL78:AL96)</f>
        <v>20000000</v>
      </c>
      <c r="AM97" s="58">
        <f t="shared" ref="AM97:BE97" si="82">SUM(AM78:AM96)</f>
        <v>0</v>
      </c>
      <c r="AN97" s="58">
        <f t="shared" si="82"/>
        <v>0</v>
      </c>
      <c r="AO97" s="58">
        <f t="shared" si="82"/>
        <v>0</v>
      </c>
      <c r="AP97" s="58">
        <f t="shared" si="82"/>
        <v>0</v>
      </c>
      <c r="AQ97" s="58">
        <f t="shared" si="82"/>
        <v>0</v>
      </c>
      <c r="AR97" s="58">
        <f t="shared" si="82"/>
        <v>0</v>
      </c>
      <c r="AS97" s="58">
        <f t="shared" si="82"/>
        <v>0</v>
      </c>
      <c r="AT97" s="58">
        <f t="shared" si="82"/>
        <v>0</v>
      </c>
      <c r="AU97" s="58">
        <f t="shared" si="82"/>
        <v>0</v>
      </c>
      <c r="AV97" s="58">
        <f t="shared" si="82"/>
        <v>0</v>
      </c>
      <c r="AW97" s="58">
        <f t="shared" si="82"/>
        <v>0</v>
      </c>
      <c r="AX97" s="58">
        <f t="shared" si="82"/>
        <v>0</v>
      </c>
      <c r="AY97" s="58">
        <f t="shared" si="82"/>
        <v>1086714654</v>
      </c>
      <c r="AZ97" s="58">
        <f t="shared" si="82"/>
        <v>144029244</v>
      </c>
      <c r="BA97" s="58">
        <f t="shared" si="82"/>
        <v>13620000</v>
      </c>
      <c r="BB97" s="58">
        <f t="shared" si="82"/>
        <v>791164006</v>
      </c>
      <c r="BC97" s="58">
        <f t="shared" si="82"/>
        <v>0</v>
      </c>
      <c r="BD97" s="58">
        <f t="shared" si="82"/>
        <v>0</v>
      </c>
      <c r="BE97" s="58">
        <f t="shared" si="82"/>
        <v>55075200</v>
      </c>
      <c r="BF97" s="69">
        <f t="shared" si="61"/>
        <v>0.41994775908574389</v>
      </c>
      <c r="BG97" s="58">
        <f t="shared" ref="BG97:CD97" si="83">SUM(BG78:BG96)</f>
        <v>1635170784</v>
      </c>
      <c r="BH97" s="58">
        <f t="shared" si="83"/>
        <v>372992255</v>
      </c>
      <c r="BI97" s="58">
        <f t="shared" si="83"/>
        <v>0</v>
      </c>
      <c r="BJ97" s="58">
        <f t="shared" si="83"/>
        <v>5640225</v>
      </c>
      <c r="BK97" s="58">
        <f t="shared" si="83"/>
        <v>14553122</v>
      </c>
      <c r="BL97" s="58">
        <f t="shared" si="83"/>
        <v>0</v>
      </c>
      <c r="BM97" s="58">
        <f t="shared" si="83"/>
        <v>0</v>
      </c>
      <c r="BN97" s="58">
        <f t="shared" si="83"/>
        <v>0</v>
      </c>
      <c r="BO97" s="58">
        <f t="shared" si="83"/>
        <v>0</v>
      </c>
      <c r="BP97" s="58">
        <f t="shared" si="83"/>
        <v>0</v>
      </c>
      <c r="BQ97" s="58">
        <f t="shared" si="83"/>
        <v>0</v>
      </c>
      <c r="BR97" s="58">
        <f t="shared" si="83"/>
        <v>0</v>
      </c>
      <c r="BS97" s="58">
        <f t="shared" si="83"/>
        <v>0</v>
      </c>
      <c r="BT97" s="58">
        <f t="shared" si="83"/>
        <v>0</v>
      </c>
      <c r="BU97" s="58">
        <f t="shared" si="83"/>
        <v>0</v>
      </c>
      <c r="BV97" s="58">
        <f t="shared" si="83"/>
        <v>0</v>
      </c>
      <c r="BW97" s="58">
        <f t="shared" si="83"/>
        <v>0</v>
      </c>
      <c r="BX97" s="58">
        <f t="shared" si="83"/>
        <v>108350641</v>
      </c>
      <c r="BY97" s="58">
        <f t="shared" si="83"/>
        <v>41994853</v>
      </c>
      <c r="BZ97" s="58">
        <f t="shared" si="83"/>
        <v>355903</v>
      </c>
      <c r="CA97" s="58">
        <f t="shared" si="83"/>
        <v>1037738159</v>
      </c>
      <c r="CB97" s="58">
        <f t="shared" si="83"/>
        <v>0</v>
      </c>
      <c r="CC97" s="58">
        <f t="shared" si="83"/>
        <v>0</v>
      </c>
      <c r="CD97" s="58">
        <f t="shared" si="83"/>
        <v>53545626</v>
      </c>
      <c r="CE97" s="69">
        <f t="shared" si="48"/>
        <v>0.41875001313644306</v>
      </c>
      <c r="CF97" s="58">
        <f>SUM(CF78:CF96)</f>
        <v>1630507063</v>
      </c>
      <c r="CG97" s="58">
        <f>SUM(CG78:CG96)</f>
        <v>0</v>
      </c>
      <c r="CH97" s="58">
        <f t="shared" ref="CH97:DB97" si="84">SUM(CH78:CH96)</f>
        <v>0</v>
      </c>
      <c r="CI97" s="58">
        <f t="shared" si="84"/>
        <v>0</v>
      </c>
      <c r="CJ97" s="58">
        <f t="shared" si="84"/>
        <v>0</v>
      </c>
      <c r="CK97" s="58">
        <f t="shared" si="84"/>
        <v>0</v>
      </c>
      <c r="CL97" s="58">
        <f t="shared" si="84"/>
        <v>0</v>
      </c>
      <c r="CM97" s="58">
        <f t="shared" si="84"/>
        <v>0</v>
      </c>
      <c r="CN97" s="58">
        <f t="shared" si="84"/>
        <v>0</v>
      </c>
      <c r="CO97" s="58">
        <f t="shared" si="84"/>
        <v>0</v>
      </c>
      <c r="CP97" s="58">
        <f t="shared" si="84"/>
        <v>0</v>
      </c>
      <c r="CQ97" s="58">
        <f t="shared" si="84"/>
        <v>0</v>
      </c>
      <c r="CR97" s="58">
        <f t="shared" si="84"/>
        <v>0</v>
      </c>
      <c r="CS97" s="58">
        <f t="shared" si="84"/>
        <v>0</v>
      </c>
      <c r="CT97" s="58">
        <f t="shared" si="84"/>
        <v>0</v>
      </c>
      <c r="CU97" s="58">
        <f t="shared" si="84"/>
        <v>0</v>
      </c>
      <c r="CV97" s="58">
        <f t="shared" si="84"/>
        <v>0</v>
      </c>
      <c r="CW97" s="58">
        <f>SUM(CW78:CW96)</f>
        <v>920497331</v>
      </c>
      <c r="CX97" s="58">
        <f t="shared" si="84"/>
        <v>141620104</v>
      </c>
      <c r="CY97" s="58">
        <f>SUM(CY78:CY96)</f>
        <v>13620000</v>
      </c>
      <c r="CZ97" s="58">
        <f t="shared" si="84"/>
        <v>509944628</v>
      </c>
      <c r="DA97" s="58">
        <f t="shared" si="84"/>
        <v>0</v>
      </c>
      <c r="DB97" s="58">
        <f t="shared" si="84"/>
        <v>0</v>
      </c>
      <c r="DC97" s="58">
        <f>SUM(DC78:DC96)</f>
        <v>44825000</v>
      </c>
      <c r="DD97" s="59">
        <f t="shared" si="59"/>
        <v>0.581249986863557</v>
      </c>
      <c r="DE97" s="58">
        <f t="shared" ref="DE97:EB97" si="85">SUM(DE78:DE96)</f>
        <v>2263241025</v>
      </c>
      <c r="DF97" s="58">
        <f t="shared" si="85"/>
        <v>496723420</v>
      </c>
      <c r="DG97" s="58">
        <f t="shared" si="85"/>
        <v>0</v>
      </c>
      <c r="DH97" s="58">
        <f t="shared" si="85"/>
        <v>29883260</v>
      </c>
      <c r="DI97" s="58">
        <f t="shared" si="85"/>
        <v>34553122</v>
      </c>
      <c r="DJ97" s="58">
        <f t="shared" si="85"/>
        <v>0</v>
      </c>
      <c r="DK97" s="58">
        <f t="shared" si="85"/>
        <v>0</v>
      </c>
      <c r="DL97" s="58">
        <f t="shared" si="85"/>
        <v>0</v>
      </c>
      <c r="DM97" s="58">
        <f t="shared" si="85"/>
        <v>0</v>
      </c>
      <c r="DN97" s="58">
        <f t="shared" si="85"/>
        <v>0</v>
      </c>
      <c r="DO97" s="58">
        <f t="shared" si="85"/>
        <v>0</v>
      </c>
      <c r="DP97" s="58">
        <f t="shared" si="85"/>
        <v>0</v>
      </c>
      <c r="DQ97" s="58">
        <f t="shared" si="85"/>
        <v>0</v>
      </c>
      <c r="DR97" s="58">
        <f t="shared" si="85"/>
        <v>0</v>
      </c>
      <c r="DS97" s="58">
        <f t="shared" si="85"/>
        <v>0</v>
      </c>
      <c r="DT97" s="58">
        <f t="shared" si="85"/>
        <v>0</v>
      </c>
      <c r="DU97" s="58">
        <f t="shared" si="85"/>
        <v>0</v>
      </c>
      <c r="DV97" s="58">
        <f t="shared" si="85"/>
        <v>274567964</v>
      </c>
      <c r="DW97" s="58">
        <f t="shared" si="85"/>
        <v>44403993</v>
      </c>
      <c r="DX97" s="58">
        <f t="shared" si="85"/>
        <v>355903</v>
      </c>
      <c r="DY97" s="58">
        <f t="shared" si="85"/>
        <v>1318957537</v>
      </c>
      <c r="DZ97" s="58">
        <f t="shared" si="85"/>
        <v>0</v>
      </c>
      <c r="EA97" s="58">
        <f t="shared" si="85"/>
        <v>0</v>
      </c>
      <c r="EB97" s="58">
        <f t="shared" si="85"/>
        <v>63795826</v>
      </c>
      <c r="ED97" s="31">
        <f t="shared" si="60"/>
        <v>3893748088</v>
      </c>
      <c r="EE97" s="31">
        <f t="shared" si="62"/>
        <v>3893748088</v>
      </c>
      <c r="EF97" s="31">
        <f t="shared" si="63"/>
        <v>3893748088</v>
      </c>
    </row>
    <row r="98" spans="1:136" ht="20.45" customHeight="1" thickTop="1" x14ac:dyDescent="0.25">
      <c r="A98" s="208"/>
      <c r="B98" s="255" t="s">
        <v>286</v>
      </c>
      <c r="C98" s="50" t="s">
        <v>287</v>
      </c>
      <c r="D98" s="21" t="s">
        <v>288</v>
      </c>
      <c r="E98" s="79">
        <v>111</v>
      </c>
      <c r="F98" s="23" t="s">
        <v>240</v>
      </c>
      <c r="G98" s="24">
        <f t="shared" ref="G98:G128" si="86">SUM(J98:AF98)</f>
        <v>11893956921</v>
      </c>
      <c r="H98" s="25">
        <f>+'[15]SA 2020 2024'!$F5</f>
        <v>11100000000</v>
      </c>
      <c r="I98" s="25">
        <f>+H98-G98</f>
        <v>-793956921</v>
      </c>
      <c r="J98" s="24">
        <v>300000000</v>
      </c>
      <c r="K98" s="24"/>
      <c r="L98" s="24"/>
      <c r="M98" s="24"/>
      <c r="N98" s="24">
        <v>10500000000</v>
      </c>
      <c r="O98" s="24"/>
      <c r="P98" s="24"/>
      <c r="Q98" s="24"/>
      <c r="R98" s="26">
        <f>206360820-56360820-82762687-47237313</f>
        <v>20000000</v>
      </c>
      <c r="S98" s="26">
        <f>141360820-41360820-46888661-40000000</f>
        <v>13111339</v>
      </c>
      <c r="T98" s="26">
        <f>161360820+77053214-48247365-30000000</f>
        <v>160166669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6">
        <f>2000000000-300000000-538839316-397489048-351759665-319395921-7500000-30700000</f>
        <v>54316050</v>
      </c>
      <c r="AB98" s="26">
        <f>500261191-159116845</f>
        <v>341144346</v>
      </c>
      <c r="AC98" s="26"/>
      <c r="AD98" s="26"/>
      <c r="AE98" s="26">
        <f>123846638-123846638</f>
        <v>0</v>
      </c>
      <c r="AF98" s="26">
        <v>44000000</v>
      </c>
      <c r="AG98" s="48">
        <f t="shared" si="58"/>
        <v>0.33664813010465755</v>
      </c>
      <c r="AH98" s="24">
        <f t="shared" si="44"/>
        <v>4004078357</v>
      </c>
      <c r="AI98" s="24">
        <f>+[4]JULIO!$J$18</f>
        <v>255145313</v>
      </c>
      <c r="AJ98" s="24"/>
      <c r="AK98" s="24"/>
      <c r="AL98" s="24"/>
      <c r="AM98" s="24">
        <f>+[4]JULIO!$M$18</f>
        <v>3644933044</v>
      </c>
      <c r="AN98" s="24"/>
      <c r="AO98" s="24"/>
      <c r="AP98" s="24"/>
      <c r="AQ98" s="24">
        <f>+[4]JULIO!$R$18</f>
        <v>20000000</v>
      </c>
      <c r="AR98" s="24"/>
      <c r="AS98" s="24"/>
      <c r="AT98" s="24"/>
      <c r="AU98" s="24"/>
      <c r="AV98" s="24">
        <f>+[4]JULIO!$W$18</f>
        <v>20000000</v>
      </c>
      <c r="AW98" s="24">
        <f>+[4]JULIO!$X$18</f>
        <v>20000000</v>
      </c>
      <c r="AX98" s="24"/>
      <c r="AY98" s="24"/>
      <c r="AZ98" s="24"/>
      <c r="BA98" s="24"/>
      <c r="BB98" s="24"/>
      <c r="BC98" s="24"/>
      <c r="BD98" s="24"/>
      <c r="BE98" s="24">
        <f>+[2]OCTUBRE!$AG$18</f>
        <v>44000000</v>
      </c>
      <c r="BF98" s="27">
        <f t="shared" si="61"/>
        <v>0.66335186989534245</v>
      </c>
      <c r="BG98" s="24">
        <f t="shared" si="70"/>
        <v>7889878564</v>
      </c>
      <c r="BH98" s="24">
        <f t="shared" ref="BH98:BW113" si="87">+J98-AI98</f>
        <v>44854687</v>
      </c>
      <c r="BI98" s="24">
        <f t="shared" si="87"/>
        <v>0</v>
      </c>
      <c r="BJ98" s="24">
        <f t="shared" si="87"/>
        <v>0</v>
      </c>
      <c r="BK98" s="24">
        <f t="shared" si="87"/>
        <v>0</v>
      </c>
      <c r="BL98" s="24">
        <f t="shared" si="87"/>
        <v>6855066956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0</v>
      </c>
      <c r="BQ98" s="24">
        <f t="shared" si="87"/>
        <v>13111339</v>
      </c>
      <c r="BR98" s="24">
        <f t="shared" si="87"/>
        <v>160166669</v>
      </c>
      <c r="BS98" s="24">
        <f t="shared" si="87"/>
        <v>0</v>
      </c>
      <c r="BT98" s="24">
        <f t="shared" si="87"/>
        <v>0</v>
      </c>
      <c r="BU98" s="24">
        <f t="shared" si="87"/>
        <v>257433191</v>
      </c>
      <c r="BV98" s="24">
        <f t="shared" si="87"/>
        <v>163785326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54316050</v>
      </c>
      <c r="BZ98" s="24">
        <f t="shared" si="88"/>
        <v>341144346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0</v>
      </c>
      <c r="CE98" s="48">
        <f t="shared" si="48"/>
        <v>0.32775480606602408</v>
      </c>
      <c r="CF98" s="24">
        <f t="shared" si="49"/>
        <v>3898301544</v>
      </c>
      <c r="CG98" s="24">
        <f>+[3]SEPTIEMBRE!$H$41</f>
        <v>255145313</v>
      </c>
      <c r="CH98" s="24"/>
      <c r="CI98" s="24"/>
      <c r="CJ98" s="24"/>
      <c r="CK98" s="24">
        <f>+[3]SEPTIEMBRE!$H$38</f>
        <v>3643156231</v>
      </c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7">
        <f t="shared" si="59"/>
        <v>0.67224519393397597</v>
      </c>
      <c r="DE98" s="24">
        <f t="shared" ref="DE98:DE128" si="89">SUM(DF98:EB98)</f>
        <v>7995655377</v>
      </c>
      <c r="DF98" s="24">
        <f t="shared" ref="DF98:DU113" si="90">+J98-CG98</f>
        <v>44854687</v>
      </c>
      <c r="DG98" s="24">
        <f t="shared" si="90"/>
        <v>0</v>
      </c>
      <c r="DH98" s="24">
        <f t="shared" si="90"/>
        <v>0</v>
      </c>
      <c r="DI98" s="24">
        <f t="shared" si="90"/>
        <v>0</v>
      </c>
      <c r="DJ98" s="24">
        <f t="shared" si="90"/>
        <v>6856843769</v>
      </c>
      <c r="DK98" s="24">
        <f t="shared" si="90"/>
        <v>0</v>
      </c>
      <c r="DL98" s="24">
        <f t="shared" si="90"/>
        <v>0</v>
      </c>
      <c r="DM98" s="24">
        <f t="shared" si="90"/>
        <v>0</v>
      </c>
      <c r="DN98" s="24">
        <f t="shared" si="90"/>
        <v>20000000</v>
      </c>
      <c r="DO98" s="24">
        <f t="shared" si="90"/>
        <v>13111339</v>
      </c>
      <c r="DP98" s="24">
        <f t="shared" si="90"/>
        <v>160166669</v>
      </c>
      <c r="DQ98" s="24">
        <f t="shared" si="90"/>
        <v>0</v>
      </c>
      <c r="DR98" s="24">
        <f t="shared" si="90"/>
        <v>0</v>
      </c>
      <c r="DS98" s="24">
        <f t="shared" si="90"/>
        <v>277433191</v>
      </c>
      <c r="DT98" s="24">
        <f t="shared" si="90"/>
        <v>183785326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54316050</v>
      </c>
      <c r="DX98" s="24">
        <f t="shared" si="91"/>
        <v>341144346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31">
        <f t="shared" si="60"/>
        <v>11893956921</v>
      </c>
      <c r="EE98" s="31">
        <f t="shared" si="62"/>
        <v>11893956921</v>
      </c>
      <c r="EF98" s="31">
        <f t="shared" si="63"/>
        <v>11893956921</v>
      </c>
    </row>
    <row r="99" spans="1:136" s="81" customFormat="1" ht="19.899999999999999" customHeight="1" x14ac:dyDescent="0.25">
      <c r="A99" s="208"/>
      <c r="B99" s="255"/>
      <c r="C99" s="50" t="s">
        <v>289</v>
      </c>
      <c r="D99" s="21" t="s">
        <v>290</v>
      </c>
      <c r="E99" s="80">
        <v>111</v>
      </c>
      <c r="F99" s="23" t="s">
        <v>240</v>
      </c>
      <c r="G99" s="24">
        <f t="shared" si="86"/>
        <v>0</v>
      </c>
      <c r="H99" s="25">
        <f>+'[15]SA 2020 2024'!$F6</f>
        <v>0</v>
      </c>
      <c r="I99" s="25">
        <f t="shared" ref="I99:I128" si="92">+H99-G99</f>
        <v>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>
        <v>0</v>
      </c>
      <c r="AG99" s="27" t="e">
        <f t="shared" si="58"/>
        <v>#DIV/0!</v>
      </c>
      <c r="AH99" s="24">
        <f t="shared" si="44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7" t="e">
        <f t="shared" si="61"/>
        <v>#DIV/0!</v>
      </c>
      <c r="BG99" s="24">
        <f t="shared" si="70"/>
        <v>0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0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7" t="e">
        <f t="shared" si="48"/>
        <v>#DIV/0!</v>
      </c>
      <c r="CF99" s="24">
        <f t="shared" si="49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7" t="e">
        <f t="shared" si="59"/>
        <v>#DIV/0!</v>
      </c>
      <c r="DE99" s="24">
        <f t="shared" si="89"/>
        <v>0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0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31">
        <f t="shared" si="60"/>
        <v>0</v>
      </c>
      <c r="EE99" s="31">
        <f t="shared" si="62"/>
        <v>0</v>
      </c>
      <c r="EF99" s="31">
        <f t="shared" si="63"/>
        <v>0</v>
      </c>
    </row>
    <row r="100" spans="1:136" ht="19.899999999999999" customHeight="1" x14ac:dyDescent="0.25">
      <c r="A100" s="208"/>
      <c r="B100" s="255"/>
      <c r="C100" s="50" t="s">
        <v>291</v>
      </c>
      <c r="D100" s="21" t="s">
        <v>292</v>
      </c>
      <c r="E100" s="80">
        <v>111</v>
      </c>
      <c r="F100" s="23" t="s">
        <v>240</v>
      </c>
      <c r="G100" s="24">
        <f t="shared" si="86"/>
        <v>0</v>
      </c>
      <c r="H100" s="25">
        <f>+'[15]SA 2020 2024'!$F7</f>
        <v>50000000</v>
      </c>
      <c r="I100" s="25">
        <f t="shared" si="92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>
        <v>0</v>
      </c>
      <c r="AG100" s="27" t="e">
        <f t="shared" si="58"/>
        <v>#DIV/0!</v>
      </c>
      <c r="AH100" s="24">
        <f t="shared" si="44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7" t="e">
        <f t="shared" si="61"/>
        <v>#DIV/0!</v>
      </c>
      <c r="BG100" s="24">
        <f t="shared" si="70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7" t="e">
        <f t="shared" si="48"/>
        <v>#DIV/0!</v>
      </c>
      <c r="CF100" s="24">
        <f t="shared" si="49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27" t="e">
        <f t="shared" si="59"/>
        <v>#DIV/0!</v>
      </c>
      <c r="DE100" s="24">
        <f t="shared" si="89"/>
        <v>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 s="31">
        <f t="shared" si="60"/>
        <v>0</v>
      </c>
      <c r="EE100" s="31">
        <f t="shared" si="62"/>
        <v>0</v>
      </c>
      <c r="EF100" s="31">
        <f t="shared" si="63"/>
        <v>0</v>
      </c>
    </row>
    <row r="101" spans="1:136" ht="57" customHeight="1" x14ac:dyDescent="0.25">
      <c r="A101" s="208"/>
      <c r="B101" s="255"/>
      <c r="C101" s="50" t="s">
        <v>293</v>
      </c>
      <c r="D101" s="64" t="s">
        <v>294</v>
      </c>
      <c r="E101" s="80">
        <v>111</v>
      </c>
      <c r="F101" s="23" t="s">
        <v>295</v>
      </c>
      <c r="G101" s="24">
        <f t="shared" si="86"/>
        <v>899585525</v>
      </c>
      <c r="H101" s="25">
        <f>+'[15]SA 2020 2024'!$F8</f>
        <v>600040000</v>
      </c>
      <c r="I101" s="25">
        <f t="shared" si="92"/>
        <v>-299545525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f>41360820+17353655-50000000</f>
        <v>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6">
        <f>397489048+7500000</f>
        <v>404989048</v>
      </c>
      <c r="AB101" s="26">
        <v>12504053</v>
      </c>
      <c r="AC101" s="26"/>
      <c r="AD101" s="26"/>
      <c r="AE101" s="26">
        <v>123846638</v>
      </c>
      <c r="AF101" s="26">
        <f>12000000+25000000+7000000+41938011-41938011+3000000</f>
        <v>47000000</v>
      </c>
      <c r="AG101" s="27">
        <f t="shared" si="58"/>
        <v>0.16268229527148073</v>
      </c>
      <c r="AH101" s="24">
        <f t="shared" si="44"/>
        <v>146346638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>
        <f>+[2]OCTUBRE!$AA$64</f>
        <v>7500000</v>
      </c>
      <c r="BA101" s="24"/>
      <c r="BB101" s="24"/>
      <c r="BC101" s="24"/>
      <c r="BD101" s="24">
        <f>+[2]OCTUBRE!$AF$64</f>
        <v>123846638</v>
      </c>
      <c r="BE101" s="24">
        <f>+[2]OCTUBRE!$AG$64</f>
        <v>15000000</v>
      </c>
      <c r="BF101" s="27">
        <f t="shared" si="61"/>
        <v>0.8373177047285193</v>
      </c>
      <c r="BG101" s="24">
        <f t="shared" si="70"/>
        <v>753238887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0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56360820</v>
      </c>
      <c r="BQ101" s="24">
        <f t="shared" si="87"/>
        <v>8714475</v>
      </c>
      <c r="BR101" s="24">
        <f t="shared" si="87"/>
        <v>0</v>
      </c>
      <c r="BS101" s="24">
        <f t="shared" si="87"/>
        <v>0</v>
      </c>
      <c r="BT101" s="24">
        <f t="shared" si="87"/>
        <v>64000000</v>
      </c>
      <c r="BU101" s="24">
        <f t="shared" si="87"/>
        <v>182170491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397489048</v>
      </c>
      <c r="BZ101" s="24">
        <f t="shared" si="88"/>
        <v>12504053</v>
      </c>
      <c r="CA101" s="24">
        <f t="shared" si="88"/>
        <v>0</v>
      </c>
      <c r="CB101" s="24">
        <f t="shared" si="88"/>
        <v>0</v>
      </c>
      <c r="CC101" s="24">
        <f t="shared" si="88"/>
        <v>0</v>
      </c>
      <c r="CD101" s="24">
        <f t="shared" si="88"/>
        <v>32000000</v>
      </c>
      <c r="CE101" s="27">
        <f t="shared" si="48"/>
        <v>8.4286316189892008E-3</v>
      </c>
      <c r="CF101" s="24">
        <f t="shared" si="49"/>
        <v>7582275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>
        <f>+[3]SEPTIEMBRE!$H$65</f>
        <v>7582275</v>
      </c>
      <c r="DD101" s="27">
        <f t="shared" si="59"/>
        <v>0.99157136838101079</v>
      </c>
      <c r="DE101" s="24">
        <f t="shared" si="89"/>
        <v>892003250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0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56360820</v>
      </c>
      <c r="DO101" s="24">
        <f t="shared" si="90"/>
        <v>8714475</v>
      </c>
      <c r="DP101" s="24">
        <f t="shared" si="90"/>
        <v>0</v>
      </c>
      <c r="DQ101" s="24">
        <f t="shared" si="90"/>
        <v>0</v>
      </c>
      <c r="DR101" s="24">
        <f t="shared" si="90"/>
        <v>64000000</v>
      </c>
      <c r="DS101" s="24">
        <f t="shared" si="90"/>
        <v>182170491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404989048</v>
      </c>
      <c r="DX101" s="24">
        <f t="shared" si="91"/>
        <v>12504053</v>
      </c>
      <c r="DY101" s="24">
        <f t="shared" si="91"/>
        <v>0</v>
      </c>
      <c r="DZ101" s="24">
        <f t="shared" si="91"/>
        <v>0</v>
      </c>
      <c r="EA101" s="24">
        <f t="shared" si="91"/>
        <v>123846638</v>
      </c>
      <c r="EB101" s="24">
        <f t="shared" si="91"/>
        <v>39417725</v>
      </c>
      <c r="ED101" s="31">
        <f t="shared" si="60"/>
        <v>899585525</v>
      </c>
      <c r="EE101" s="31">
        <f t="shared" si="62"/>
        <v>899585525</v>
      </c>
      <c r="EF101" s="31">
        <f t="shared" si="63"/>
        <v>899585525</v>
      </c>
    </row>
    <row r="102" spans="1:136" s="81" customFormat="1" ht="24" customHeight="1" x14ac:dyDescent="0.25">
      <c r="A102" s="208"/>
      <c r="B102" s="255"/>
      <c r="C102" s="50" t="s">
        <v>296</v>
      </c>
      <c r="D102" s="35" t="s">
        <v>297</v>
      </c>
      <c r="E102" s="80">
        <v>111</v>
      </c>
      <c r="F102" s="23" t="s">
        <v>240</v>
      </c>
      <c r="G102" s="24">
        <f t="shared" si="86"/>
        <v>97495947</v>
      </c>
      <c r="H102" s="25">
        <f>+'[15]SA 2020 2024'!$F9</f>
        <v>300000000</v>
      </c>
      <c r="I102" s="25">
        <f t="shared" si="92"/>
        <v>202504053</v>
      </c>
      <c r="J102" s="47"/>
      <c r="K102" s="24"/>
      <c r="L102" s="24"/>
      <c r="M102" s="24"/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12504053-12504053</f>
        <v>0</v>
      </c>
      <c r="AC102" s="24"/>
      <c r="AD102" s="24"/>
      <c r="AE102" s="24"/>
      <c r="AF102" s="24">
        <v>0</v>
      </c>
      <c r="AG102" s="27">
        <f t="shared" si="58"/>
        <v>0.93280879665695227</v>
      </c>
      <c r="AH102" s="24">
        <f t="shared" si="44"/>
        <v>90945077</v>
      </c>
      <c r="AI102" s="26"/>
      <c r="AJ102" s="26"/>
      <c r="AK102" s="26"/>
      <c r="AL102" s="26"/>
      <c r="AM102" s="26"/>
      <c r="AN102" s="26"/>
      <c r="AO102" s="26"/>
      <c r="AP102" s="26">
        <f>+[4]JULIO!$Q$71</f>
        <v>90945077</v>
      </c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7">
        <f t="shared" si="61"/>
        <v>6.7191203343047734E-2</v>
      </c>
      <c r="BG102" s="24">
        <f t="shared" si="70"/>
        <v>6550870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6550870</v>
      </c>
      <c r="BP102" s="24">
        <f t="shared" si="87"/>
        <v>0</v>
      </c>
      <c r="BQ102" s="24">
        <f t="shared" si="87"/>
        <v>0</v>
      </c>
      <c r="BR102" s="24">
        <f t="shared" si="87"/>
        <v>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7">
        <f t="shared" si="48"/>
        <v>0.93272624963579254</v>
      </c>
      <c r="CF102" s="24">
        <f t="shared" si="49"/>
        <v>90937029</v>
      </c>
      <c r="CG102" s="26"/>
      <c r="CH102" s="26"/>
      <c r="CI102" s="26"/>
      <c r="CJ102" s="26"/>
      <c r="CK102" s="26"/>
      <c r="CL102" s="26"/>
      <c r="CM102" s="26"/>
      <c r="CN102" s="26">
        <f>+[2]OCTUBRE!$H$85</f>
        <v>90937029</v>
      </c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7">
        <f t="shared" si="59"/>
        <v>6.7273750364207463E-2</v>
      </c>
      <c r="DE102" s="24">
        <f t="shared" si="89"/>
        <v>6558918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6558918</v>
      </c>
      <c r="DN102" s="24">
        <f t="shared" si="90"/>
        <v>0</v>
      </c>
      <c r="DO102" s="24">
        <f t="shared" si="90"/>
        <v>0</v>
      </c>
      <c r="DP102" s="24">
        <f t="shared" si="90"/>
        <v>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31">
        <f t="shared" si="60"/>
        <v>97495947</v>
      </c>
      <c r="EE102" s="31">
        <f t="shared" si="62"/>
        <v>97495947</v>
      </c>
      <c r="EF102" s="31">
        <f t="shared" si="63"/>
        <v>97495947</v>
      </c>
    </row>
    <row r="103" spans="1:136" ht="36" customHeight="1" x14ac:dyDescent="0.25">
      <c r="A103" s="208"/>
      <c r="B103" s="255" t="s">
        <v>298</v>
      </c>
      <c r="C103" s="50" t="s">
        <v>299</v>
      </c>
      <c r="D103" s="21" t="s">
        <v>300</v>
      </c>
      <c r="E103" s="79">
        <v>211</v>
      </c>
      <c r="F103" s="23" t="s">
        <v>301</v>
      </c>
      <c r="G103" s="24">
        <f t="shared" si="86"/>
        <v>1166046737</v>
      </c>
      <c r="H103" s="25">
        <f>+'[15]SA 2020 2024'!$F15</f>
        <v>1200000000</v>
      </c>
      <c r="I103" s="25">
        <f t="shared" si="92"/>
        <v>33953263</v>
      </c>
      <c r="J103" s="24">
        <v>300000000</v>
      </c>
      <c r="K103" s="24"/>
      <c r="L103" s="24"/>
      <c r="M103" s="82">
        <v>27498356</v>
      </c>
      <c r="N103" s="24"/>
      <c r="O103" s="24"/>
      <c r="P103" s="24"/>
      <c r="Q103" s="24"/>
      <c r="R103" s="24">
        <f>40000000+252000000-38238622</f>
        <v>253761378</v>
      </c>
      <c r="S103" s="24">
        <f>70000000+115000000-19181368</f>
        <v>165818632</v>
      </c>
      <c r="T103" s="24">
        <f>70000000-5898678</f>
        <v>64101322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60000000+20000000+10000000</f>
        <v>90000000</v>
      </c>
      <c r="AG103" s="27">
        <f t="shared" si="58"/>
        <v>0.8992555990489427</v>
      </c>
      <c r="AH103" s="24">
        <f t="shared" si="44"/>
        <v>1048574057</v>
      </c>
      <c r="AI103" s="24">
        <f>+'[10]MAYO 2020'!$J$74</f>
        <v>300000000</v>
      </c>
      <c r="AJ103" s="24"/>
      <c r="AK103" s="24"/>
      <c r="AL103" s="24"/>
      <c r="AM103" s="24"/>
      <c r="AN103" s="24"/>
      <c r="AO103" s="24"/>
      <c r="AP103" s="24"/>
      <c r="AQ103" s="24">
        <f>+[16]AGOSTO!$R$87</f>
        <v>253761378</v>
      </c>
      <c r="AR103" s="24">
        <f>+[8]AGOSTO!$S$87</f>
        <v>146045110</v>
      </c>
      <c r="AS103" s="24">
        <f>+[8]AGOSTO!$T$87</f>
        <v>64101322</v>
      </c>
      <c r="AT103" s="24">
        <f>+[4]JULIO!$U$87</f>
        <v>63000000</v>
      </c>
      <c r="AU103" s="24">
        <f>+[16]AGOSTO!$V$87</f>
        <v>37231112</v>
      </c>
      <c r="AV103" s="24"/>
      <c r="AW103" s="24"/>
      <c r="AX103" s="24"/>
      <c r="AY103" s="24"/>
      <c r="AZ103" s="24">
        <f>+'[10]MAYO 2020'!$AA$74</f>
        <v>150000000</v>
      </c>
      <c r="BA103" s="24"/>
      <c r="BB103" s="24"/>
      <c r="BC103" s="24"/>
      <c r="BD103" s="24">
        <f>+[3]SEPTIEMBRE!$AF$92</f>
        <v>14435135</v>
      </c>
      <c r="BE103" s="26">
        <f>+[3]SEPTIEMBRE!$AG$92</f>
        <v>20000000</v>
      </c>
      <c r="BF103" s="27">
        <f t="shared" si="61"/>
        <v>0.1007444009510573</v>
      </c>
      <c r="BG103" s="24">
        <f t="shared" si="70"/>
        <v>117472680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19773522</v>
      </c>
      <c r="BR103" s="24">
        <f t="shared" si="87"/>
        <v>0</v>
      </c>
      <c r="BS103" s="24">
        <f t="shared" si="87"/>
        <v>200802</v>
      </c>
      <c r="BT103" s="24">
        <f t="shared" si="87"/>
        <v>0</v>
      </c>
      <c r="BU103" s="24">
        <f t="shared" si="87"/>
        <v>0</v>
      </c>
      <c r="BV103" s="24">
        <f t="shared" si="87"/>
        <v>0</v>
      </c>
      <c r="BW103" s="24">
        <f t="shared" si="87"/>
        <v>0</v>
      </c>
      <c r="BX103" s="24">
        <f t="shared" si="88"/>
        <v>0</v>
      </c>
      <c r="BY103" s="24">
        <f t="shared" si="88"/>
        <v>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0</v>
      </c>
      <c r="CD103" s="24">
        <f t="shared" si="88"/>
        <v>70000000</v>
      </c>
      <c r="CE103" s="27">
        <f t="shared" si="48"/>
        <v>0.78160991843674277</v>
      </c>
      <c r="CF103" s="24">
        <f t="shared" si="49"/>
        <v>911393695</v>
      </c>
      <c r="CG103" s="24">
        <f>+[4]JULIO!$H$90</f>
        <v>300000000</v>
      </c>
      <c r="CH103" s="24"/>
      <c r="CI103" s="24"/>
      <c r="CJ103" s="24"/>
      <c r="CK103" s="24"/>
      <c r="CL103" s="24"/>
      <c r="CM103" s="24"/>
      <c r="CN103" s="24"/>
      <c r="CO103" s="24">
        <f>+[2]OCTUBRE!$H$114</f>
        <v>241881557</v>
      </c>
      <c r="CP103" s="24">
        <f>+[2]OCTUBRE!$H$120</f>
        <v>144039174</v>
      </c>
      <c r="CQ103" s="24">
        <f>+[2]OCTUBRE!$H$118</f>
        <v>53103368</v>
      </c>
      <c r="CR103" s="24">
        <f>+[8]AGOSTO!$H$96</f>
        <v>62934552</v>
      </c>
      <c r="CS103" s="24"/>
      <c r="CT103" s="24"/>
      <c r="CU103" s="24"/>
      <c r="CV103" s="24"/>
      <c r="CW103" s="24"/>
      <c r="CX103" s="24">
        <f>+[2]OCTUBRE!$H$107</f>
        <v>93306044</v>
      </c>
      <c r="CY103" s="24"/>
      <c r="CZ103" s="24"/>
      <c r="DA103" s="24"/>
      <c r="DB103" s="24"/>
      <c r="DC103" s="24">
        <f>+[2]OCTUBRE!$H$122</f>
        <v>16129000</v>
      </c>
      <c r="DD103" s="27">
        <f t="shared" si="59"/>
        <v>0.21839008156325723</v>
      </c>
      <c r="DE103" s="24">
        <f t="shared" si="89"/>
        <v>254653042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11879821</v>
      </c>
      <c r="DO103" s="24">
        <f t="shared" si="90"/>
        <v>21779458</v>
      </c>
      <c r="DP103" s="24">
        <f t="shared" si="90"/>
        <v>10997954</v>
      </c>
      <c r="DQ103" s="24">
        <f t="shared" si="90"/>
        <v>266250</v>
      </c>
      <c r="DR103" s="24">
        <f t="shared" si="90"/>
        <v>37231112</v>
      </c>
      <c r="DS103" s="24">
        <f t="shared" si="90"/>
        <v>0</v>
      </c>
      <c r="DT103" s="24">
        <f t="shared" si="90"/>
        <v>0</v>
      </c>
      <c r="DU103" s="24">
        <f t="shared" si="90"/>
        <v>0</v>
      </c>
      <c r="DV103" s="24">
        <f t="shared" si="91"/>
        <v>0</v>
      </c>
      <c r="DW103" s="24">
        <f t="shared" si="91"/>
        <v>56693956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14435135</v>
      </c>
      <c r="EB103" s="24">
        <f t="shared" si="91"/>
        <v>73871000</v>
      </c>
      <c r="ED103" s="31">
        <f t="shared" si="60"/>
        <v>1166046737</v>
      </c>
      <c r="EE103" s="31">
        <f t="shared" si="62"/>
        <v>1166046737</v>
      </c>
      <c r="EF103" s="31">
        <f t="shared" si="63"/>
        <v>1166046737</v>
      </c>
    </row>
    <row r="104" spans="1:136" ht="29.45" customHeight="1" x14ac:dyDescent="0.25">
      <c r="A104" s="208"/>
      <c r="B104" s="255"/>
      <c r="C104" s="50" t="s">
        <v>302</v>
      </c>
      <c r="D104" s="21" t="s">
        <v>303</v>
      </c>
      <c r="E104" s="79">
        <v>211</v>
      </c>
      <c r="F104" s="23" t="s">
        <v>304</v>
      </c>
      <c r="G104" s="24">
        <f t="shared" si="86"/>
        <v>38000000</v>
      </c>
      <c r="H104" s="25">
        <f>+'[15]SA 2020 2024'!$F16</f>
        <v>600000000</v>
      </c>
      <c r="I104" s="25">
        <f t="shared" si="92"/>
        <v>562000000</v>
      </c>
      <c r="J104" s="47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7">
        <f t="shared" si="58"/>
        <v>0</v>
      </c>
      <c r="AH104" s="24">
        <f t="shared" si="44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7">
        <f t="shared" si="61"/>
        <v>1</v>
      </c>
      <c r="BG104" s="24">
        <f t="shared" si="70"/>
        <v>38000000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10000000</v>
      </c>
      <c r="BQ104" s="24">
        <f t="shared" si="87"/>
        <v>10000000</v>
      </c>
      <c r="BR104" s="24">
        <f t="shared" si="87"/>
        <v>10000000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8000000</v>
      </c>
      <c r="CE104" s="27">
        <f t="shared" si="48"/>
        <v>0</v>
      </c>
      <c r="CF104" s="24">
        <f t="shared" si="49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9"/>
        <v>1</v>
      </c>
      <c r="DE104" s="24">
        <f t="shared" si="89"/>
        <v>38000000</v>
      </c>
      <c r="DF104" s="24">
        <f t="shared" si="90"/>
        <v>0</v>
      </c>
      <c r="DG104" s="24">
        <f t="shared" si="90"/>
        <v>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10000000</v>
      </c>
      <c r="DO104" s="24">
        <f t="shared" si="90"/>
        <v>10000000</v>
      </c>
      <c r="DP104" s="24">
        <f t="shared" si="90"/>
        <v>10000000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8000000</v>
      </c>
      <c r="ED104" s="31">
        <f t="shared" si="60"/>
        <v>38000000</v>
      </c>
      <c r="EE104" s="31">
        <f t="shared" si="62"/>
        <v>38000000</v>
      </c>
      <c r="EF104" s="31">
        <f t="shared" si="63"/>
        <v>38000000</v>
      </c>
    </row>
    <row r="105" spans="1:136" ht="30" customHeight="1" x14ac:dyDescent="0.25">
      <c r="A105" s="208"/>
      <c r="B105" s="255"/>
      <c r="C105" s="50" t="s">
        <v>305</v>
      </c>
      <c r="D105" s="21" t="s">
        <v>306</v>
      </c>
      <c r="E105" s="79">
        <v>211</v>
      </c>
      <c r="F105" s="23" t="s">
        <v>240</v>
      </c>
      <c r="G105" s="24">
        <f t="shared" si="86"/>
        <v>363318668</v>
      </c>
      <c r="H105" s="25">
        <f>+'[15]SA 2020 2024'!$F17</f>
        <v>300000000</v>
      </c>
      <c r="I105" s="25">
        <f t="shared" si="92"/>
        <v>-63318668</v>
      </c>
      <c r="J105" s="47"/>
      <c r="K105" s="24"/>
      <c r="L105" s="24"/>
      <c r="M105" s="24"/>
      <c r="N105" s="24"/>
      <c r="O105" s="24"/>
      <c r="P105" s="24"/>
      <c r="Q105" s="24"/>
      <c r="R105" s="24">
        <v>38238622</v>
      </c>
      <c r="S105" s="24">
        <f>19181368</f>
        <v>19181368</v>
      </c>
      <c r="T105" s="24">
        <v>5898678</v>
      </c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7">
        <f t="shared" si="58"/>
        <v>0.17427859501015236</v>
      </c>
      <c r="AH105" s="24">
        <f t="shared" si="44"/>
        <v>63318667</v>
      </c>
      <c r="AI105" s="24"/>
      <c r="AJ105" s="24"/>
      <c r="AK105" s="24"/>
      <c r="AL105" s="24"/>
      <c r="AM105" s="24"/>
      <c r="AN105" s="24"/>
      <c r="AO105" s="24"/>
      <c r="AP105" s="24"/>
      <c r="AQ105" s="24">
        <f>+[8]AGOSTO!$R$118</f>
        <v>38238621</v>
      </c>
      <c r="AR105" s="24">
        <f>+[8]AGOSTO!$S$118</f>
        <v>19181368</v>
      </c>
      <c r="AS105" s="24">
        <f>+[8]AGOSTO!$T$118</f>
        <v>5898678</v>
      </c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61"/>
        <v>0.82572140498984758</v>
      </c>
      <c r="BG105" s="24">
        <f t="shared" si="70"/>
        <v>300000001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1</v>
      </c>
      <c r="BQ105" s="24">
        <f t="shared" si="87"/>
        <v>0</v>
      </c>
      <c r="BR105" s="24">
        <f t="shared" si="87"/>
        <v>0</v>
      </c>
      <c r="BS105" s="24">
        <f t="shared" si="87"/>
        <v>300000000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7">
        <f t="shared" si="48"/>
        <v>0.17374635701350749</v>
      </c>
      <c r="CF105" s="24">
        <f t="shared" si="49"/>
        <v>63125295</v>
      </c>
      <c r="CG105" s="24"/>
      <c r="CH105" s="24"/>
      <c r="CI105" s="24"/>
      <c r="CJ105" s="24"/>
      <c r="CK105" s="24"/>
      <c r="CL105" s="24"/>
      <c r="CM105" s="24"/>
      <c r="CN105" s="24"/>
      <c r="CO105" s="24">
        <f>+[2]OCTUBRE!$H$148</f>
        <v>38238621</v>
      </c>
      <c r="CP105" s="24">
        <f>+[2]OCTUBRE!$H$146</f>
        <v>18987996</v>
      </c>
      <c r="CQ105" s="24">
        <f>+[2]OCTUBRE!$H$144</f>
        <v>5898678</v>
      </c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9"/>
        <v>0.82625364298649251</v>
      </c>
      <c r="DE105" s="24">
        <f t="shared" si="89"/>
        <v>300193373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1</v>
      </c>
      <c r="DO105" s="24">
        <f t="shared" si="90"/>
        <v>193372</v>
      </c>
      <c r="DP105" s="24">
        <f t="shared" si="90"/>
        <v>0</v>
      </c>
      <c r="DQ105" s="24">
        <f t="shared" si="90"/>
        <v>300000000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0</v>
      </c>
      <c r="ED105" s="31">
        <f t="shared" si="60"/>
        <v>363318668</v>
      </c>
      <c r="EE105" s="31">
        <f t="shared" si="62"/>
        <v>363318668</v>
      </c>
      <c r="EF105" s="31">
        <f t="shared" si="63"/>
        <v>363318668</v>
      </c>
    </row>
    <row r="106" spans="1:136" ht="28.15" customHeight="1" x14ac:dyDescent="0.25">
      <c r="A106" s="55"/>
      <c r="B106" s="255"/>
      <c r="C106" s="50" t="s">
        <v>307</v>
      </c>
      <c r="D106" s="21" t="s">
        <v>308</v>
      </c>
      <c r="E106" s="79">
        <v>211</v>
      </c>
      <c r="F106" s="23" t="s">
        <v>240</v>
      </c>
      <c r="G106" s="24">
        <f t="shared" si="86"/>
        <v>193016064</v>
      </c>
      <c r="H106" s="25">
        <f>+'[15]SA 2020 2024'!$F18</f>
        <v>1250000000</v>
      </c>
      <c r="I106" s="25">
        <f t="shared" si="92"/>
        <v>1056983936</v>
      </c>
      <c r="J106" s="24">
        <v>100000000</v>
      </c>
      <c r="K106" s="24"/>
      <c r="L106" s="24"/>
      <c r="M106" s="24"/>
      <c r="N106" s="24"/>
      <c r="O106" s="26">
        <v>1000000</v>
      </c>
      <c r="P106" s="26"/>
      <c r="Q106" s="26">
        <f>74177964-8115800+25953900</f>
        <v>92016064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7">
        <f t="shared" si="58"/>
        <v>0.81760751789032438</v>
      </c>
      <c r="AH106" s="24">
        <f t="shared" si="44"/>
        <v>157811385</v>
      </c>
      <c r="AI106" s="24">
        <f>+[2]OCTUBRE!$J$153</f>
        <v>92206183</v>
      </c>
      <c r="AJ106" s="24"/>
      <c r="AK106" s="24"/>
      <c r="AL106" s="24"/>
      <c r="AM106" s="24"/>
      <c r="AN106" s="24"/>
      <c r="AO106" s="24"/>
      <c r="AP106" s="24">
        <f>+[2]OCTUBRE!$Q$153</f>
        <v>65605202</v>
      </c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61"/>
        <v>0.18239248210967562</v>
      </c>
      <c r="BG106" s="24">
        <f t="shared" si="70"/>
        <v>35204679</v>
      </c>
      <c r="BH106" s="24">
        <f t="shared" si="87"/>
        <v>7793817</v>
      </c>
      <c r="BI106" s="24">
        <f t="shared" si="87"/>
        <v>0</v>
      </c>
      <c r="BJ106" s="24">
        <f t="shared" si="87"/>
        <v>0</v>
      </c>
      <c r="BK106" s="24">
        <f t="shared" si="87"/>
        <v>0</v>
      </c>
      <c r="BL106" s="24">
        <f t="shared" si="87"/>
        <v>0</v>
      </c>
      <c r="BM106" s="24">
        <f t="shared" si="87"/>
        <v>1000000</v>
      </c>
      <c r="BN106" s="24">
        <f t="shared" si="87"/>
        <v>0</v>
      </c>
      <c r="BO106" s="24">
        <f t="shared" si="87"/>
        <v>26410862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7">
        <f t="shared" si="48"/>
        <v>0.34615140116006093</v>
      </c>
      <c r="CF106" s="24">
        <f t="shared" si="49"/>
        <v>66812781</v>
      </c>
      <c r="CG106" s="24">
        <f>+[2]OCTUBRE!$H$156+[2]OCTUBRE!$H$158+[2]OCTUBRE!$H$160+[2]OCTUBRE!$H$163</f>
        <v>66812781</v>
      </c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9"/>
        <v>0.65384859883993907</v>
      </c>
      <c r="DE106" s="24">
        <f t="shared" si="89"/>
        <v>126203283</v>
      </c>
      <c r="DF106" s="24">
        <f t="shared" si="90"/>
        <v>33187219</v>
      </c>
      <c r="DG106" s="24">
        <f t="shared" si="90"/>
        <v>0</v>
      </c>
      <c r="DH106" s="24">
        <f t="shared" si="90"/>
        <v>0</v>
      </c>
      <c r="DI106" s="24">
        <f t="shared" si="90"/>
        <v>0</v>
      </c>
      <c r="DJ106" s="24">
        <f t="shared" si="90"/>
        <v>0</v>
      </c>
      <c r="DK106" s="24">
        <f t="shared" si="90"/>
        <v>1000000</v>
      </c>
      <c r="DL106" s="24">
        <f t="shared" si="90"/>
        <v>0</v>
      </c>
      <c r="DM106" s="24">
        <f t="shared" si="90"/>
        <v>92016064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0</v>
      </c>
      <c r="ED106" s="31">
        <f t="shared" si="60"/>
        <v>193016064</v>
      </c>
      <c r="EE106" s="31">
        <f t="shared" si="62"/>
        <v>193016064</v>
      </c>
      <c r="EF106" s="31">
        <f t="shared" si="63"/>
        <v>193016064</v>
      </c>
    </row>
    <row r="107" spans="1:136" ht="30" customHeight="1" x14ac:dyDescent="0.25">
      <c r="A107" s="55"/>
      <c r="B107" s="255"/>
      <c r="C107" s="50" t="s">
        <v>309</v>
      </c>
      <c r="D107" s="21" t="s">
        <v>310</v>
      </c>
      <c r="E107" s="79">
        <v>211</v>
      </c>
      <c r="F107" s="23" t="s">
        <v>240</v>
      </c>
      <c r="G107" s="24">
        <f t="shared" si="86"/>
        <v>0</v>
      </c>
      <c r="H107" s="25">
        <f>+'[15]SA 2020 2024'!$F19</f>
        <v>255000000</v>
      </c>
      <c r="I107" s="25">
        <f t="shared" si="92"/>
        <v>255000000</v>
      </c>
      <c r="J107" s="47"/>
      <c r="K107" s="24"/>
      <c r="L107" s="24"/>
      <c r="M107" s="24"/>
      <c r="N107" s="24"/>
      <c r="O107" s="26">
        <f>1000000-1000000</f>
        <v>0</v>
      </c>
      <c r="P107" s="26"/>
      <c r="Q107" s="26">
        <f>25953900-25953900</f>
        <v>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7" t="e">
        <f t="shared" si="58"/>
        <v>#DIV/0!</v>
      </c>
      <c r="AH107" s="24">
        <f t="shared" si="44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 t="e">
        <f t="shared" si="61"/>
        <v>#DIV/0!</v>
      </c>
      <c r="BG107" s="24">
        <f t="shared" si="70"/>
        <v>0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27" t="e">
        <f t="shared" si="48"/>
        <v>#DIV/0!</v>
      </c>
      <c r="CF107" s="24">
        <f t="shared" si="49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 t="e">
        <f t="shared" si="59"/>
        <v>#DIV/0!</v>
      </c>
      <c r="DE107" s="24">
        <f t="shared" si="89"/>
        <v>0</v>
      </c>
      <c r="DF107" s="24">
        <f t="shared" si="90"/>
        <v>0</v>
      </c>
      <c r="DG107" s="24">
        <f t="shared" si="90"/>
        <v>0</v>
      </c>
      <c r="DH107" s="24">
        <f t="shared" si="90"/>
        <v>0</v>
      </c>
      <c r="DI107" s="24">
        <f t="shared" si="90"/>
        <v>0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0</v>
      </c>
      <c r="ED107" s="31">
        <f t="shared" si="60"/>
        <v>0</v>
      </c>
      <c r="EE107" s="31">
        <f t="shared" si="62"/>
        <v>0</v>
      </c>
      <c r="EF107" s="31">
        <f t="shared" si="63"/>
        <v>0</v>
      </c>
    </row>
    <row r="108" spans="1:136" ht="30.6" customHeight="1" x14ac:dyDescent="0.25">
      <c r="A108" s="208" t="s">
        <v>311</v>
      </c>
      <c r="B108" s="255"/>
      <c r="C108" s="50" t="s">
        <v>312</v>
      </c>
      <c r="D108" s="21" t="s">
        <v>313</v>
      </c>
      <c r="E108" s="79">
        <v>211</v>
      </c>
      <c r="F108" s="23" t="s">
        <v>240</v>
      </c>
      <c r="G108" s="24">
        <f t="shared" si="86"/>
        <v>109875297</v>
      </c>
      <c r="H108" s="25">
        <f>+'[15]SA 2020 2024'!$F20</f>
        <v>270000000</v>
      </c>
      <c r="I108" s="25">
        <f t="shared" si="92"/>
        <v>160124703</v>
      </c>
      <c r="J108" s="24">
        <v>99415867</v>
      </c>
      <c r="K108" s="24"/>
      <c r="L108" s="24"/>
      <c r="M108" s="24"/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7">
        <f t="shared" si="58"/>
        <v>0.51416534510027312</v>
      </c>
      <c r="AH108" s="24">
        <f t="shared" si="44"/>
        <v>56494070</v>
      </c>
      <c r="AI108" s="24">
        <f>+[4]JULIO!$J$151</f>
        <v>56494070</v>
      </c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61"/>
        <v>0.48583465489972688</v>
      </c>
      <c r="BG108" s="24">
        <f t="shared" si="70"/>
        <v>53381227</v>
      </c>
      <c r="BH108" s="24">
        <f t="shared" si="87"/>
        <v>42921797</v>
      </c>
      <c r="BI108" s="24">
        <f t="shared" si="87"/>
        <v>0</v>
      </c>
      <c r="BJ108" s="24">
        <f t="shared" si="87"/>
        <v>0</v>
      </c>
      <c r="BK108" s="24">
        <f t="shared" si="87"/>
        <v>0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10459430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7">
        <f t="shared" si="48"/>
        <v>0</v>
      </c>
      <c r="CF108" s="24">
        <f t="shared" si="49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9"/>
        <v>1</v>
      </c>
      <c r="DE108" s="24">
        <f t="shared" si="89"/>
        <v>109875297</v>
      </c>
      <c r="DF108" s="24">
        <f t="shared" si="90"/>
        <v>99415867</v>
      </c>
      <c r="DG108" s="24">
        <f t="shared" si="90"/>
        <v>0</v>
      </c>
      <c r="DH108" s="24">
        <f t="shared" si="90"/>
        <v>0</v>
      </c>
      <c r="DI108" s="24">
        <f t="shared" si="90"/>
        <v>0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10459430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31">
        <f t="shared" si="60"/>
        <v>109875297</v>
      </c>
      <c r="EE108" s="31">
        <f t="shared" si="62"/>
        <v>109875297</v>
      </c>
      <c r="EF108" s="31">
        <f t="shared" si="63"/>
        <v>109875297</v>
      </c>
    </row>
    <row r="109" spans="1:136" ht="40.15" customHeight="1" x14ac:dyDescent="0.25">
      <c r="A109" s="208"/>
      <c r="B109" s="255"/>
      <c r="C109" s="50" t="s">
        <v>314</v>
      </c>
      <c r="D109" s="21" t="s">
        <v>315</v>
      </c>
      <c r="E109" s="79">
        <v>211</v>
      </c>
      <c r="F109" s="23" t="s">
        <v>316</v>
      </c>
      <c r="G109" s="24">
        <f t="shared" si="86"/>
        <v>262242424</v>
      </c>
      <c r="H109" s="25">
        <f>+'[15]SA 2020 2024'!$F21</f>
        <v>759000000</v>
      </c>
      <c r="I109" s="25">
        <f t="shared" si="92"/>
        <v>496757576</v>
      </c>
      <c r="J109" s="47"/>
      <c r="K109" s="24"/>
      <c r="L109" s="24"/>
      <c r="M109" s="82">
        <v>32862151</v>
      </c>
      <c r="N109" s="24"/>
      <c r="O109" s="24">
        <f>80000000-1000000</f>
        <v>79000000</v>
      </c>
      <c r="P109" s="24"/>
      <c r="Q109" s="24"/>
      <c r="R109" s="24">
        <f>45000000-45000000</f>
        <v>0</v>
      </c>
      <c r="S109" s="24">
        <f>30123239-30123239</f>
        <v>0</v>
      </c>
      <c r="T109" s="24">
        <f>45000000-45000000</f>
        <v>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6">
        <f>71933832+6848373-11700000-28000000+40466854+10500000</f>
        <v>90049059</v>
      </c>
      <c r="AG109" s="27">
        <f t="shared" si="58"/>
        <v>0.57343986799023794</v>
      </c>
      <c r="AH109" s="24">
        <f t="shared" si="44"/>
        <v>150380261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>
        <f>+[3]SEPTIEMBRE!$G$209</f>
        <v>60331214</v>
      </c>
      <c r="BE109" s="24">
        <f>+[2]OCTUBRE!$AG$208</f>
        <v>90049047</v>
      </c>
      <c r="BF109" s="27">
        <f t="shared" si="61"/>
        <v>0.42656013200976206</v>
      </c>
      <c r="BG109" s="24">
        <f t="shared" si="70"/>
        <v>111862163</v>
      </c>
      <c r="BH109" s="24">
        <f t="shared" si="87"/>
        <v>0</v>
      </c>
      <c r="BI109" s="24">
        <f t="shared" si="87"/>
        <v>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79000000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0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12</v>
      </c>
      <c r="CE109" s="27">
        <f t="shared" si="48"/>
        <v>0.10475276875872686</v>
      </c>
      <c r="CF109" s="24">
        <f t="shared" si="49"/>
        <v>27470620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>
        <f>+[3]SEPTIEMBRE!$H$191</f>
        <v>27470620</v>
      </c>
      <c r="DD109" s="27">
        <f t="shared" si="59"/>
        <v>0.89524723124127314</v>
      </c>
      <c r="DE109" s="24">
        <f t="shared" si="89"/>
        <v>234771804</v>
      </c>
      <c r="DF109" s="24">
        <f t="shared" si="90"/>
        <v>0</v>
      </c>
      <c r="DG109" s="24">
        <f t="shared" si="90"/>
        <v>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79000000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0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60331214</v>
      </c>
      <c r="EB109" s="24">
        <f t="shared" si="91"/>
        <v>62578439</v>
      </c>
      <c r="ED109" s="31">
        <f t="shared" si="60"/>
        <v>262242424</v>
      </c>
      <c r="EE109" s="31">
        <f t="shared" si="62"/>
        <v>262242424</v>
      </c>
      <c r="EF109" s="31">
        <f t="shared" si="63"/>
        <v>262242424</v>
      </c>
    </row>
    <row r="110" spans="1:136" ht="20.45" customHeight="1" x14ac:dyDescent="0.25">
      <c r="A110" s="208"/>
      <c r="B110" s="255"/>
      <c r="C110" s="50" t="s">
        <v>317</v>
      </c>
      <c r="D110" s="21" t="s">
        <v>318</v>
      </c>
      <c r="E110" s="79">
        <v>211</v>
      </c>
      <c r="F110" s="23" t="s">
        <v>240</v>
      </c>
      <c r="G110" s="24">
        <f t="shared" si="86"/>
        <v>0</v>
      </c>
      <c r="H110" s="25">
        <f>+'[15]SA 2020 2024'!$F22</f>
        <v>100000000</v>
      </c>
      <c r="I110" s="25">
        <f t="shared" si="92"/>
        <v>100000000</v>
      </c>
      <c r="J110" s="47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6">
        <v>0</v>
      </c>
      <c r="AG110" s="27" t="e">
        <f t="shared" si="58"/>
        <v>#DIV/0!</v>
      </c>
      <c r="AH110" s="24">
        <f t="shared" si="44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 t="e">
        <f t="shared" si="61"/>
        <v>#DIV/0!</v>
      </c>
      <c r="BG110" s="24">
        <f t="shared" si="70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7" t="e">
        <f t="shared" si="48"/>
        <v>#DIV/0!</v>
      </c>
      <c r="CF110" s="24">
        <f t="shared" si="49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31">
        <f t="shared" si="60"/>
        <v>0</v>
      </c>
      <c r="EE110" s="31">
        <f t="shared" si="62"/>
        <v>0</v>
      </c>
      <c r="EF110" s="31">
        <f t="shared" si="63"/>
        <v>0</v>
      </c>
    </row>
    <row r="111" spans="1:136" ht="73.900000000000006" customHeight="1" x14ac:dyDescent="0.25">
      <c r="A111" s="208"/>
      <c r="B111" s="255"/>
      <c r="C111" s="50" t="s">
        <v>319</v>
      </c>
      <c r="D111" s="21" t="s">
        <v>320</v>
      </c>
      <c r="E111" s="79">
        <v>211</v>
      </c>
      <c r="F111" s="23" t="s">
        <v>321</v>
      </c>
      <c r="G111" s="24">
        <f t="shared" si="86"/>
        <v>242088930</v>
      </c>
      <c r="H111" s="25">
        <f>+'[15]SA 2020 2024'!$F23</f>
        <v>504000000</v>
      </c>
      <c r="I111" s="25">
        <f t="shared" si="92"/>
        <v>261911070</v>
      </c>
      <c r="J111" s="47"/>
      <c r="K111" s="24"/>
      <c r="L111" s="24"/>
      <c r="M111" s="24"/>
      <c r="N111" s="24"/>
      <c r="O111" s="24"/>
      <c r="P111" s="24"/>
      <c r="Q111" s="24"/>
      <c r="R111" s="24">
        <f>14249213-14249213</f>
        <v>0</v>
      </c>
      <c r="S111" s="24"/>
      <c r="T111" s="24">
        <f>53764535-53764535</f>
        <v>0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6">
        <f>124450919+9000000+21938011+10000000+42000000+20000000+14700000</f>
        <v>242088930</v>
      </c>
      <c r="AG111" s="27">
        <f t="shared" si="58"/>
        <v>0.81971845635403484</v>
      </c>
      <c r="AH111" s="24">
        <f t="shared" si="44"/>
        <v>198444764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+[2]OCTUBRE!$AG$249</f>
        <v>198444764</v>
      </c>
      <c r="BF111" s="27">
        <f t="shared" si="61"/>
        <v>0.18028154364596516</v>
      </c>
      <c r="BG111" s="24">
        <f t="shared" si="70"/>
        <v>43644166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43644166</v>
      </c>
      <c r="CE111" s="27">
        <f t="shared" si="48"/>
        <v>0.38267129356141977</v>
      </c>
      <c r="CF111" s="24">
        <f t="shared" si="49"/>
        <v>92640484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+[2]OCTUBRE!$H$247</f>
        <v>92640484</v>
      </c>
      <c r="DD111" s="27">
        <f t="shared" si="59"/>
        <v>0.61732870643858018</v>
      </c>
      <c r="DE111" s="24">
        <f t="shared" si="89"/>
        <v>149448446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149448446</v>
      </c>
      <c r="ED111" s="31">
        <f t="shared" si="60"/>
        <v>242088930</v>
      </c>
      <c r="EE111" s="31">
        <f t="shared" si="62"/>
        <v>242088930</v>
      </c>
      <c r="EF111" s="31">
        <f t="shared" si="63"/>
        <v>242088930</v>
      </c>
    </row>
    <row r="112" spans="1:136" ht="25.15" customHeight="1" x14ac:dyDescent="0.25">
      <c r="A112" s="208"/>
      <c r="B112" s="255"/>
      <c r="C112" s="50" t="s">
        <v>322</v>
      </c>
      <c r="D112" s="21" t="s">
        <v>323</v>
      </c>
      <c r="E112" s="79">
        <v>211</v>
      </c>
      <c r="F112" s="23" t="s">
        <v>324</v>
      </c>
      <c r="G112" s="24">
        <f t="shared" si="86"/>
        <v>3000000</v>
      </c>
      <c r="H112" s="25">
        <f>+'[15]SA 2020 2024'!$F24</f>
        <v>252000000</v>
      </c>
      <c r="I112" s="25">
        <f t="shared" si="92"/>
        <v>249000000</v>
      </c>
      <c r="J112" s="47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6">
        <v>3000000</v>
      </c>
      <c r="AG112" s="27">
        <f t="shared" si="58"/>
        <v>0</v>
      </c>
      <c r="AH112" s="24">
        <f t="shared" si="44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>
        <f t="shared" si="61"/>
        <v>1</v>
      </c>
      <c r="BG112" s="24">
        <f t="shared" si="70"/>
        <v>3000000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3000000</v>
      </c>
      <c r="CE112" s="27">
        <f t="shared" si="48"/>
        <v>0</v>
      </c>
      <c r="CF112" s="24">
        <f t="shared" si="49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>
        <f t="shared" si="59"/>
        <v>1</v>
      </c>
      <c r="DE112" s="24">
        <f t="shared" si="89"/>
        <v>3000000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3000000</v>
      </c>
      <c r="ED112" s="31">
        <f t="shared" si="60"/>
        <v>3000000</v>
      </c>
      <c r="EE112" s="31">
        <f t="shared" si="62"/>
        <v>3000000</v>
      </c>
      <c r="EF112" s="31">
        <f t="shared" si="63"/>
        <v>3000000</v>
      </c>
    </row>
    <row r="113" spans="1:136" ht="96.6" customHeight="1" x14ac:dyDescent="0.25">
      <c r="A113" s="208"/>
      <c r="B113" s="241" t="s">
        <v>298</v>
      </c>
      <c r="C113" s="50" t="s">
        <v>325</v>
      </c>
      <c r="D113" s="21" t="s">
        <v>326</v>
      </c>
      <c r="E113" s="79">
        <v>211</v>
      </c>
      <c r="F113" s="23" t="s">
        <v>327</v>
      </c>
      <c r="G113" s="24">
        <f t="shared" si="86"/>
        <v>527336538</v>
      </c>
      <c r="H113" s="25">
        <f>+'[15]SA 2020 2024'!$F25</f>
        <v>246000000</v>
      </c>
      <c r="I113" s="25">
        <f t="shared" si="92"/>
        <v>-281336538</v>
      </c>
      <c r="J113" s="47"/>
      <c r="K113" s="24"/>
      <c r="L113" s="24"/>
      <c r="M113" s="24"/>
      <c r="N113" s="24"/>
      <c r="O113" s="24"/>
      <c r="P113" s="24"/>
      <c r="Q113" s="24"/>
      <c r="R113" s="26">
        <v>47237313</v>
      </c>
      <c r="S113" s="26">
        <f>265157791-250281030+40000000</f>
        <v>54876761</v>
      </c>
      <c r="T113" s="26">
        <v>30000000</v>
      </c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6">
        <f>66270879+71006594+17557879+46984503+11376487+17926897+20000000+18700000+25399225</f>
        <v>295222464</v>
      </c>
      <c r="AG113" s="27">
        <f t="shared" si="58"/>
        <v>0.66222226763281855</v>
      </c>
      <c r="AH113" s="24">
        <f t="shared" si="44"/>
        <v>349213998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+'[6]MARZO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+'[11]ABRIL 2020'!$AB$204</f>
        <v>85976539</v>
      </c>
      <c r="BB113" s="24"/>
      <c r="BC113" s="24"/>
      <c r="BD113" s="24"/>
      <c r="BE113" s="24">
        <f>+[2]OCTUBRE!$AG$286</f>
        <v>248360698</v>
      </c>
      <c r="BF113" s="27">
        <f t="shared" si="61"/>
        <v>0.33777773236718145</v>
      </c>
      <c r="BG113" s="24">
        <f t="shared" si="70"/>
        <v>178122540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0</v>
      </c>
      <c r="BO113" s="24">
        <f t="shared" si="87"/>
        <v>0</v>
      </c>
      <c r="BP113" s="24">
        <f t="shared" si="87"/>
        <v>47237313</v>
      </c>
      <c r="BQ113" s="24">
        <f t="shared" si="87"/>
        <v>40000000</v>
      </c>
      <c r="BR113" s="24">
        <f t="shared" si="87"/>
        <v>30000000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14023461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37">
        <f t="shared" si="88"/>
        <v>46861766</v>
      </c>
      <c r="CE113" s="27">
        <f t="shared" si="48"/>
        <v>0.23310218644474054</v>
      </c>
      <c r="CF113" s="24">
        <f t="shared" si="49"/>
        <v>122923300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f>+'[10]MAYO 2020'!$H$228</f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f>+'[10]MAYO 2020'!$H$223</f>
        <v>83906539</v>
      </c>
      <c r="CZ113" s="24"/>
      <c r="DA113" s="24"/>
      <c r="DB113" s="24"/>
      <c r="DC113" s="24">
        <f>+'[10]MAYO 2020'!$H$213+[3]SEPTIEMBRE!$H$266+[2]OCTUBRE!$H$290</f>
        <v>24140000</v>
      </c>
      <c r="DD113" s="27">
        <f t="shared" si="59"/>
        <v>0.76689781355525943</v>
      </c>
      <c r="DE113" s="24">
        <f t="shared" si="89"/>
        <v>404413238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0</v>
      </c>
      <c r="DM113" s="24">
        <f t="shared" si="90"/>
        <v>0</v>
      </c>
      <c r="DN113" s="24">
        <f t="shared" si="90"/>
        <v>47237313</v>
      </c>
      <c r="DO113" s="24">
        <f t="shared" si="90"/>
        <v>40000000</v>
      </c>
      <c r="DP113" s="24">
        <f t="shared" si="90"/>
        <v>30000000</v>
      </c>
      <c r="DQ113" s="24">
        <f t="shared" si="90"/>
        <v>0</v>
      </c>
      <c r="DR113" s="24">
        <f t="shared" si="90"/>
        <v>0</v>
      </c>
      <c r="DS113" s="24">
        <f t="shared" si="90"/>
        <v>0</v>
      </c>
      <c r="DT113" s="24">
        <f t="shared" si="90"/>
        <v>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16093461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271082464</v>
      </c>
      <c r="ED113" s="31">
        <f t="shared" si="60"/>
        <v>527336538</v>
      </c>
      <c r="EE113" s="31">
        <f t="shared" si="62"/>
        <v>527336538</v>
      </c>
      <c r="EF113" s="31">
        <f t="shared" si="63"/>
        <v>527336538</v>
      </c>
    </row>
    <row r="114" spans="1:136" ht="27" customHeight="1" x14ac:dyDescent="0.25">
      <c r="A114" s="208"/>
      <c r="B114" s="243"/>
      <c r="C114" s="50" t="s">
        <v>328</v>
      </c>
      <c r="D114" s="21" t="s">
        <v>329</v>
      </c>
      <c r="E114" s="79">
        <v>211</v>
      </c>
      <c r="F114" s="23" t="s">
        <v>330</v>
      </c>
      <c r="G114" s="24">
        <f t="shared" si="86"/>
        <v>620000000</v>
      </c>
      <c r="H114" s="25">
        <f>+'[15]SA 2020 2024'!$F26</f>
        <v>600000000</v>
      </c>
      <c r="I114" s="25">
        <f t="shared" si="92"/>
        <v>-20000000</v>
      </c>
      <c r="J114" s="47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>
        <v>238839316</v>
      </c>
      <c r="AB114" s="24"/>
      <c r="AC114" s="24"/>
      <c r="AD114" s="24"/>
      <c r="AE114" s="24"/>
      <c r="AF114" s="26">
        <f>15000000-12000000</f>
        <v>3000000</v>
      </c>
      <c r="AG114" s="27">
        <f t="shared" si="58"/>
        <v>0.99516129032258061</v>
      </c>
      <c r="AH114" s="24">
        <f t="shared" si="44"/>
        <v>617000000</v>
      </c>
      <c r="AI114" s="24"/>
      <c r="AJ114" s="24"/>
      <c r="AK114" s="24"/>
      <c r="AL114" s="24"/>
      <c r="AM114" s="24"/>
      <c r="AN114" s="24"/>
      <c r="AO114" s="24">
        <f>+[4]JULIO!$P$271</f>
        <v>265157791</v>
      </c>
      <c r="AP114" s="24"/>
      <c r="AQ114" s="24"/>
      <c r="AR114" s="24"/>
      <c r="AS114" s="24"/>
      <c r="AT114" s="24"/>
      <c r="AU114" s="24"/>
      <c r="AV114" s="24"/>
      <c r="AW114" s="24"/>
      <c r="AX114" s="24">
        <f>+[4]JULIO!$Y$271</f>
        <v>113002893</v>
      </c>
      <c r="AY114" s="24"/>
      <c r="AZ114" s="24">
        <f>+[4]JULIO!$AA$271</f>
        <v>238839316</v>
      </c>
      <c r="BA114" s="24"/>
      <c r="BB114" s="24"/>
      <c r="BC114" s="24"/>
      <c r="BD114" s="24"/>
      <c r="BE114" s="24"/>
      <c r="BF114" s="27">
        <f t="shared" si="61"/>
        <v>4.8387096774193949E-3</v>
      </c>
      <c r="BG114" s="24">
        <f t="shared" si="70"/>
        <v>3000000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3000000</v>
      </c>
      <c r="CE114" s="27">
        <f t="shared" si="48"/>
        <v>0.99516129032258061</v>
      </c>
      <c r="CF114" s="24">
        <f t="shared" si="49"/>
        <v>617000000</v>
      </c>
      <c r="CG114" s="24"/>
      <c r="CH114" s="24"/>
      <c r="CI114" s="24"/>
      <c r="CJ114" s="24"/>
      <c r="CK114" s="24"/>
      <c r="CL114" s="24"/>
      <c r="CM114" s="24">
        <f>+[8]AGOSTO!$P$279</f>
        <v>265157791</v>
      </c>
      <c r="CN114" s="24"/>
      <c r="CO114" s="24"/>
      <c r="CP114" s="24"/>
      <c r="CQ114" s="24"/>
      <c r="CR114" s="24"/>
      <c r="CS114" s="24"/>
      <c r="CT114" s="24"/>
      <c r="CU114" s="24"/>
      <c r="CV114" s="24">
        <f>+[8]AGOSTO!$Y$279</f>
        <v>113002893</v>
      </c>
      <c r="CW114" s="24"/>
      <c r="CX114" s="24">
        <f>+[8]AGOSTO!$H$286</f>
        <v>238839316</v>
      </c>
      <c r="CY114" s="24"/>
      <c r="CZ114" s="24"/>
      <c r="DA114" s="24"/>
      <c r="DB114" s="24"/>
      <c r="DC114" s="24"/>
      <c r="DD114" s="27">
        <f t="shared" si="59"/>
        <v>4.8387096774193949E-3</v>
      </c>
      <c r="DE114" s="24">
        <f t="shared" si="89"/>
        <v>3000000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3000000</v>
      </c>
      <c r="ED114" s="31">
        <f t="shared" si="60"/>
        <v>620000000</v>
      </c>
      <c r="EE114" s="31">
        <f t="shared" si="62"/>
        <v>620000000</v>
      </c>
      <c r="EF114" s="31">
        <f t="shared" si="63"/>
        <v>620000000</v>
      </c>
    </row>
    <row r="115" spans="1:136" ht="32.25" customHeight="1" x14ac:dyDescent="0.25">
      <c r="A115" s="208"/>
      <c r="B115" s="64" t="s">
        <v>331</v>
      </c>
      <c r="C115" s="50" t="s">
        <v>332</v>
      </c>
      <c r="D115" s="35" t="s">
        <v>333</v>
      </c>
      <c r="E115" s="79">
        <v>211</v>
      </c>
      <c r="F115" s="23" t="s">
        <v>334</v>
      </c>
      <c r="G115" s="24">
        <f t="shared" si="86"/>
        <v>173785122</v>
      </c>
      <c r="H115" s="25">
        <f>+'[15]SA 2020 2024'!$F32</f>
        <v>815000000</v>
      </c>
      <c r="I115" s="25">
        <f t="shared" si="92"/>
        <v>641214878</v>
      </c>
      <c r="J115" s="47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3">
        <v>150000000</v>
      </c>
      <c r="AB115" s="24"/>
      <c r="AC115" s="24"/>
      <c r="AD115" s="24"/>
      <c r="AE115" s="24"/>
      <c r="AF115" s="26">
        <f>3785122+20000000</f>
        <v>23785122</v>
      </c>
      <c r="AG115" s="27">
        <f t="shared" si="58"/>
        <v>0.9782195279064223</v>
      </c>
      <c r="AH115" s="24">
        <f t="shared" ref="AH115:AH128" si="97">SUM(AI115:BE115)</f>
        <v>170000000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+'[10]MAYO 2020'!$AA$264</f>
        <v>150000000</v>
      </c>
      <c r="BA115" s="24"/>
      <c r="BB115" s="24"/>
      <c r="BC115" s="24"/>
      <c r="BD115" s="24"/>
      <c r="BE115" s="24">
        <f>+[2]OCTUBRE!$AG$342</f>
        <v>20000000</v>
      </c>
      <c r="BF115" s="27">
        <f t="shared" si="61"/>
        <v>2.1780472093577696E-2</v>
      </c>
      <c r="BG115" s="24">
        <f t="shared" si="70"/>
        <v>3785122</v>
      </c>
      <c r="BH115" s="24">
        <f t="shared" si="95"/>
        <v>0</v>
      </c>
      <c r="BI115" s="24">
        <f t="shared" si="95"/>
        <v>0</v>
      </c>
      <c r="BJ115" s="24">
        <f t="shared" si="95"/>
        <v>0</v>
      </c>
      <c r="BK115" s="24">
        <f t="shared" si="95"/>
        <v>0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3785122</v>
      </c>
      <c r="CE115" s="27">
        <f t="shared" ref="CE115:CE129" si="98">CF115/G115</f>
        <v>0.86097816244591985</v>
      </c>
      <c r="CF115" s="24">
        <f t="shared" ref="CF115:CF128" si="99">SUM(CG115:DC115)</f>
        <v>149625195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>
        <f>+[4]JULIO!$H$287</f>
        <v>149625195</v>
      </c>
      <c r="CY115" s="24"/>
      <c r="CZ115" s="24"/>
      <c r="DA115" s="24"/>
      <c r="DB115" s="24"/>
      <c r="DC115" s="24"/>
      <c r="DD115" s="27">
        <f t="shared" si="59"/>
        <v>0.13902183755408015</v>
      </c>
      <c r="DE115" s="24">
        <f t="shared" si="89"/>
        <v>24159927</v>
      </c>
      <c r="DF115" s="24">
        <f t="shared" si="96"/>
        <v>0</v>
      </c>
      <c r="DG115" s="24">
        <f t="shared" si="96"/>
        <v>0</v>
      </c>
      <c r="DH115" s="24">
        <f t="shared" si="96"/>
        <v>0</v>
      </c>
      <c r="DI115" s="24">
        <f t="shared" si="96"/>
        <v>0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374805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23785122</v>
      </c>
      <c r="ED115" s="31">
        <f t="shared" si="60"/>
        <v>173785122</v>
      </c>
      <c r="EE115" s="31">
        <f t="shared" si="62"/>
        <v>173785122</v>
      </c>
      <c r="EF115" s="31">
        <f t="shared" si="63"/>
        <v>173785122</v>
      </c>
    </row>
    <row r="116" spans="1:136" ht="30" customHeight="1" x14ac:dyDescent="0.25">
      <c r="A116" s="208"/>
      <c r="B116" s="228" t="s">
        <v>331</v>
      </c>
      <c r="C116" s="50" t="s">
        <v>335</v>
      </c>
      <c r="D116" s="35" t="s">
        <v>336</v>
      </c>
      <c r="E116" s="79">
        <v>211</v>
      </c>
      <c r="F116" s="23" t="s">
        <v>240</v>
      </c>
      <c r="G116" s="24">
        <f t="shared" si="86"/>
        <v>95990000</v>
      </c>
      <c r="H116" s="25">
        <f>+'[15]SA 2020 2024'!$F33</f>
        <v>200000000</v>
      </c>
      <c r="I116" s="25">
        <f t="shared" si="92"/>
        <v>104010000</v>
      </c>
      <c r="J116" s="47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25990000</v>
      </c>
      <c r="AB116" s="24"/>
      <c r="AC116" s="24"/>
      <c r="AD116" s="24"/>
      <c r="AE116" s="24"/>
      <c r="AF116" s="26">
        <v>0</v>
      </c>
      <c r="AG116" s="27">
        <f t="shared" si="58"/>
        <v>0.93455901656422546</v>
      </c>
      <c r="AH116" s="24">
        <f t="shared" si="97"/>
        <v>89708320</v>
      </c>
      <c r="AI116" s="24"/>
      <c r="AJ116" s="24">
        <f>+[4]JULIO!$K$299</f>
        <v>63718320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+[3]SEPTIEMBRE!$AA$328</f>
        <v>25990000</v>
      </c>
      <c r="BA116" s="24"/>
      <c r="BB116" s="24"/>
      <c r="BC116" s="24"/>
      <c r="BD116" s="24"/>
      <c r="BE116" s="24"/>
      <c r="BF116" s="27">
        <f t="shared" si="61"/>
        <v>6.5440983435774536E-2</v>
      </c>
      <c r="BG116" s="24">
        <f t="shared" si="70"/>
        <v>6281680</v>
      </c>
      <c r="BH116" s="24">
        <f t="shared" si="95"/>
        <v>0</v>
      </c>
      <c r="BI116" s="24">
        <f t="shared" si="95"/>
        <v>6281680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7">
        <f t="shared" si="98"/>
        <v>0.93443399312428377</v>
      </c>
      <c r="CF116" s="24">
        <f t="shared" si="99"/>
        <v>89696319</v>
      </c>
      <c r="CG116" s="24"/>
      <c r="CH116" s="24">
        <f>+[4]JULIO!$H$297</f>
        <v>63706319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f>+[3]SEPTIEMBRE!$H$341</f>
        <v>25990000</v>
      </c>
      <c r="CY116" s="24"/>
      <c r="CZ116" s="24"/>
      <c r="DA116" s="24"/>
      <c r="DB116" s="24"/>
      <c r="DC116" s="24"/>
      <c r="DD116" s="27">
        <f t="shared" si="59"/>
        <v>6.5566006875716232E-2</v>
      </c>
      <c r="DE116" s="24">
        <f t="shared" si="89"/>
        <v>6293681</v>
      </c>
      <c r="DF116" s="24">
        <f t="shared" si="96"/>
        <v>0</v>
      </c>
      <c r="DG116" s="24">
        <f t="shared" si="96"/>
        <v>6293681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31">
        <f t="shared" si="60"/>
        <v>95990000</v>
      </c>
      <c r="EE116" s="31">
        <f t="shared" si="62"/>
        <v>95990000</v>
      </c>
      <c r="EF116" s="31">
        <f t="shared" si="63"/>
        <v>95990000</v>
      </c>
    </row>
    <row r="117" spans="1:136" ht="18" customHeight="1" x14ac:dyDescent="0.25">
      <c r="A117" s="208"/>
      <c r="B117" s="231"/>
      <c r="C117" s="50" t="s">
        <v>337</v>
      </c>
      <c r="D117" s="35" t="s">
        <v>338</v>
      </c>
      <c r="E117" s="79">
        <v>211</v>
      </c>
      <c r="F117" s="23" t="s">
        <v>240</v>
      </c>
      <c r="G117" s="24">
        <f t="shared" si="86"/>
        <v>215399583</v>
      </c>
      <c r="H117" s="25">
        <f>+'[15]SA 2020 2024'!$F34</f>
        <v>281000000</v>
      </c>
      <c r="I117" s="25">
        <f t="shared" si="92"/>
        <v>65600417</v>
      </c>
      <c r="J117" s="47"/>
      <c r="K117" s="24">
        <f>20000000-12000000</f>
        <v>8000000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v>207399583</v>
      </c>
      <c r="AB117" s="24"/>
      <c r="AC117" s="24"/>
      <c r="AD117" s="24"/>
      <c r="AE117" s="24"/>
      <c r="AF117" s="26">
        <v>0</v>
      </c>
      <c r="AG117" s="27">
        <f t="shared" si="58"/>
        <v>0.98607239643541933</v>
      </c>
      <c r="AH117" s="24">
        <f t="shared" si="97"/>
        <v>212399583</v>
      </c>
      <c r="AI117" s="24"/>
      <c r="AJ117" s="24">
        <f>+[8]AGOSTO!$K$324</f>
        <v>5000000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f>+[3]SEPTIEMBRE!$AA$349</f>
        <v>207399583</v>
      </c>
      <c r="BA117" s="24"/>
      <c r="BB117" s="24"/>
      <c r="BC117" s="24"/>
      <c r="BD117" s="24"/>
      <c r="BE117" s="24"/>
      <c r="BF117" s="27">
        <f t="shared" si="61"/>
        <v>1.3927603564580671E-2</v>
      </c>
      <c r="BG117" s="24">
        <f t="shared" si="70"/>
        <v>3000000</v>
      </c>
      <c r="BH117" s="24">
        <f t="shared" si="95"/>
        <v>0</v>
      </c>
      <c r="BI117" s="24">
        <f t="shared" si="95"/>
        <v>3000000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7">
        <f t="shared" si="98"/>
        <v>0.97124217273902524</v>
      </c>
      <c r="CF117" s="24">
        <f t="shared" si="99"/>
        <v>209205159</v>
      </c>
      <c r="CG117" s="24"/>
      <c r="CH117" s="24">
        <f>+[3]SEPTIEMBRE!$H$350</f>
        <v>1805576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f>+[3]SEPTIEMBRE!$H$359</f>
        <v>207399583</v>
      </c>
      <c r="CY117" s="24"/>
      <c r="CZ117" s="24"/>
      <c r="DA117" s="24"/>
      <c r="DB117" s="24"/>
      <c r="DC117" s="24"/>
      <c r="DD117" s="27">
        <f t="shared" si="59"/>
        <v>2.8757827260974755E-2</v>
      </c>
      <c r="DE117" s="24">
        <f t="shared" si="89"/>
        <v>6194424</v>
      </c>
      <c r="DF117" s="24">
        <f t="shared" si="96"/>
        <v>0</v>
      </c>
      <c r="DG117" s="24">
        <f t="shared" si="96"/>
        <v>6194424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31">
        <f t="shared" si="60"/>
        <v>215399583</v>
      </c>
      <c r="EE117" s="31">
        <f t="shared" si="62"/>
        <v>215399583</v>
      </c>
      <c r="EF117" s="31">
        <f t="shared" si="63"/>
        <v>215399583</v>
      </c>
    </row>
    <row r="118" spans="1:136" ht="19.5" customHeight="1" x14ac:dyDescent="0.25">
      <c r="A118" s="208"/>
      <c r="B118" s="231"/>
      <c r="C118" s="50" t="s">
        <v>339</v>
      </c>
      <c r="D118" s="35" t="s">
        <v>340</v>
      </c>
      <c r="E118" s="79">
        <v>211</v>
      </c>
      <c r="F118" s="23" t="s">
        <v>240</v>
      </c>
      <c r="G118" s="24">
        <f t="shared" si="86"/>
        <v>380000000</v>
      </c>
      <c r="H118" s="25">
        <f>+'[15]SA 2020 2024'!$F35</f>
        <v>470000000</v>
      </c>
      <c r="I118" s="25">
        <f t="shared" si="92"/>
        <v>90000000</v>
      </c>
      <c r="J118" s="47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6">
        <v>0</v>
      </c>
      <c r="AG118" s="27">
        <f t="shared" si="58"/>
        <v>1</v>
      </c>
      <c r="AH118" s="24">
        <f t="shared" si="97"/>
        <v>380000000</v>
      </c>
      <c r="AI118" s="24"/>
      <c r="AJ118" s="24">
        <f>+[4]JULIO!$K$326</f>
        <v>380000000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61"/>
        <v>0</v>
      </c>
      <c r="BG118" s="24">
        <f t="shared" si="70"/>
        <v>0</v>
      </c>
      <c r="BH118" s="24">
        <f t="shared" si="95"/>
        <v>0</v>
      </c>
      <c r="BI118" s="24">
        <f t="shared" si="95"/>
        <v>0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7">
        <f t="shared" si="98"/>
        <v>0.99985332631578949</v>
      </c>
      <c r="CF118" s="24">
        <f t="shared" si="99"/>
        <v>379944264</v>
      </c>
      <c r="CG118" s="24"/>
      <c r="CH118" s="24">
        <f>+[4]JULIO!$H$324</f>
        <v>379944264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9"/>
        <v>1.4667368421050764E-4</v>
      </c>
      <c r="DE118" s="24">
        <f t="shared" si="89"/>
        <v>55736</v>
      </c>
      <c r="DF118" s="24">
        <f t="shared" si="96"/>
        <v>0</v>
      </c>
      <c r="DG118" s="24">
        <f t="shared" si="96"/>
        <v>55736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31">
        <f t="shared" si="60"/>
        <v>380000000</v>
      </c>
      <c r="EE118" s="31">
        <f t="shared" si="62"/>
        <v>380000000</v>
      </c>
      <c r="EF118" s="31">
        <f t="shared" si="63"/>
        <v>380000000</v>
      </c>
    </row>
    <row r="119" spans="1:136" ht="27.75" customHeight="1" x14ac:dyDescent="0.25">
      <c r="A119" s="208"/>
      <c r="B119" s="229"/>
      <c r="C119" s="50" t="s">
        <v>341</v>
      </c>
      <c r="D119" s="35" t="s">
        <v>342</v>
      </c>
      <c r="E119" s="79">
        <v>211</v>
      </c>
      <c r="F119" s="23" t="s">
        <v>343</v>
      </c>
      <c r="G119" s="24">
        <f t="shared" si="86"/>
        <v>413000000</v>
      </c>
      <c r="H119" s="25">
        <f>+'[15]SA 2020 2024'!$F36</f>
        <v>500000000</v>
      </c>
      <c r="I119" s="25">
        <f t="shared" si="92"/>
        <v>87000000</v>
      </c>
      <c r="J119" s="47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v>300000000</v>
      </c>
      <c r="AB119" s="24"/>
      <c r="AC119" s="24"/>
      <c r="AD119" s="24"/>
      <c r="AE119" s="24"/>
      <c r="AF119" s="26">
        <v>3000000</v>
      </c>
      <c r="AG119" s="27">
        <f t="shared" si="58"/>
        <v>0.67228689104116224</v>
      </c>
      <c r="AH119" s="24">
        <f t="shared" si="97"/>
        <v>277654486</v>
      </c>
      <c r="AI119" s="24"/>
      <c r="AJ119" s="24">
        <f>+[2]OCTUBRE!$K$457</f>
        <v>106958861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>
        <f>+[8]AGOSTO!$AA$385</f>
        <v>170695625</v>
      </c>
      <c r="BA119" s="24"/>
      <c r="BB119" s="24"/>
      <c r="BC119" s="24"/>
      <c r="BD119" s="24"/>
      <c r="BE119" s="24"/>
      <c r="BF119" s="27">
        <f t="shared" si="61"/>
        <v>0.32771310895883776</v>
      </c>
      <c r="BG119" s="24">
        <f t="shared" si="70"/>
        <v>135345514</v>
      </c>
      <c r="BH119" s="24">
        <f t="shared" si="95"/>
        <v>0</v>
      </c>
      <c r="BI119" s="24">
        <f t="shared" si="95"/>
        <v>3041139</v>
      </c>
      <c r="BJ119" s="24">
        <f t="shared" si="95"/>
        <v>0</v>
      </c>
      <c r="BK119" s="24">
        <f t="shared" si="95"/>
        <v>0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129304375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3000000</v>
      </c>
      <c r="CE119" s="27">
        <f t="shared" si="98"/>
        <v>0.57536029297820823</v>
      </c>
      <c r="CF119" s="24">
        <f t="shared" si="99"/>
        <v>237623801</v>
      </c>
      <c r="CG119" s="24"/>
      <c r="CH119" s="24">
        <f>+[8]AGOSTO!$H$386+[8]AGOSTO!$H$389+[3]SEPTIEMBRE!$H$448</f>
        <v>79424170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>
        <f>+[8]AGOSTO!$H$396+[3]SEPTIEMBRE!$H$442</f>
        <v>158199631</v>
      </c>
      <c r="CY119" s="24"/>
      <c r="CZ119" s="24"/>
      <c r="DA119" s="24"/>
      <c r="DB119" s="24"/>
      <c r="DC119" s="24"/>
      <c r="DD119" s="27">
        <f t="shared" si="59"/>
        <v>0.42463970702179177</v>
      </c>
      <c r="DE119" s="24">
        <f t="shared" si="89"/>
        <v>175376199</v>
      </c>
      <c r="DF119" s="24">
        <f t="shared" si="96"/>
        <v>0</v>
      </c>
      <c r="DG119" s="24">
        <f t="shared" si="96"/>
        <v>30575830</v>
      </c>
      <c r="DH119" s="24">
        <f t="shared" si="96"/>
        <v>0</v>
      </c>
      <c r="DI119" s="24">
        <f t="shared" si="96"/>
        <v>0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141800369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3000000</v>
      </c>
      <c r="ED119" s="31">
        <f t="shared" si="60"/>
        <v>413000000</v>
      </c>
      <c r="EE119" s="31">
        <f t="shared" si="62"/>
        <v>413000000</v>
      </c>
      <c r="EF119" s="31">
        <f t="shared" si="63"/>
        <v>413000000</v>
      </c>
    </row>
    <row r="120" spans="1:136" ht="21" customHeight="1" x14ac:dyDescent="0.25">
      <c r="A120" s="208"/>
      <c r="B120" s="255" t="s">
        <v>344</v>
      </c>
      <c r="C120" s="50" t="s">
        <v>345</v>
      </c>
      <c r="D120" s="35" t="s">
        <v>346</v>
      </c>
      <c r="E120" s="79">
        <v>510</v>
      </c>
      <c r="F120" s="23" t="s">
        <v>240</v>
      </c>
      <c r="G120" s="24">
        <f t="shared" si="86"/>
        <v>221889510</v>
      </c>
      <c r="H120" s="25">
        <f>+'[15]SA 2020 2024'!$F42</f>
        <v>220000000</v>
      </c>
      <c r="I120" s="25">
        <f t="shared" si="92"/>
        <v>-1889510</v>
      </c>
      <c r="J120" s="47"/>
      <c r="K120" s="24">
        <f>100000000+8000000</f>
        <v>108000000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f>58559428+55330082</f>
        <v>113889510</v>
      </c>
      <c r="AB120" s="24"/>
      <c r="AC120" s="24"/>
      <c r="AD120" s="24"/>
      <c r="AE120" s="24"/>
      <c r="AF120" s="24">
        <v>0</v>
      </c>
      <c r="AG120" s="27">
        <f t="shared" si="58"/>
        <v>0.87727145821359465</v>
      </c>
      <c r="AH120" s="24">
        <f t="shared" si="97"/>
        <v>194657334</v>
      </c>
      <c r="AI120" s="24"/>
      <c r="AJ120" s="24">
        <f>+'[9]ENERO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+[3]SEPTIEMBRE!$AA$2955</f>
        <v>102807334</v>
      </c>
      <c r="BA120" s="24"/>
      <c r="BB120" s="24"/>
      <c r="BC120" s="24"/>
      <c r="BD120" s="24"/>
      <c r="BE120" s="24"/>
      <c r="BF120" s="27">
        <f t="shared" si="61"/>
        <v>0.12272854178640535</v>
      </c>
      <c r="BG120" s="24">
        <f t="shared" si="70"/>
        <v>27232176</v>
      </c>
      <c r="BH120" s="24">
        <f t="shared" si="95"/>
        <v>0</v>
      </c>
      <c r="BI120" s="24">
        <f t="shared" si="95"/>
        <v>16150000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11082176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7">
        <f t="shared" si="98"/>
        <v>0.87484741842910918</v>
      </c>
      <c r="CF120" s="24">
        <f t="shared" si="99"/>
        <v>194119465</v>
      </c>
      <c r="CG120" s="24"/>
      <c r="CH120" s="24">
        <f>+[4]JULIO!$H$2465</f>
        <v>91850000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+[2]OCTUBRE!$H$3162+[2]OCTUBRE!$H$3169+[2]OCTUBRE!$H$3178</f>
        <v>102269465</v>
      </c>
      <c r="CY120" s="24"/>
      <c r="CZ120" s="24"/>
      <c r="DA120" s="24"/>
      <c r="DB120" s="24"/>
      <c r="DC120" s="24"/>
      <c r="DD120" s="27">
        <f t="shared" si="59"/>
        <v>0.12515258157089082</v>
      </c>
      <c r="DE120" s="24">
        <f t="shared" si="89"/>
        <v>27770045</v>
      </c>
      <c r="DF120" s="24">
        <f t="shared" si="96"/>
        <v>0</v>
      </c>
      <c r="DG120" s="24">
        <f t="shared" si="96"/>
        <v>16150000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11620045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31">
        <f t="shared" si="60"/>
        <v>221889510</v>
      </c>
      <c r="EE120" s="31">
        <f t="shared" si="62"/>
        <v>221889510</v>
      </c>
      <c r="EF120" s="31">
        <f t="shared" si="63"/>
        <v>221889510</v>
      </c>
    </row>
    <row r="121" spans="1:136" ht="42" customHeight="1" x14ac:dyDescent="0.25">
      <c r="A121" s="208"/>
      <c r="B121" s="255"/>
      <c r="C121" s="50" t="s">
        <v>347</v>
      </c>
      <c r="D121" s="35" t="s">
        <v>348</v>
      </c>
      <c r="E121" s="79">
        <v>510</v>
      </c>
      <c r="F121" s="23" t="s">
        <v>240</v>
      </c>
      <c r="G121" s="24">
        <f t="shared" si="86"/>
        <v>10000000</v>
      </c>
      <c r="H121" s="25">
        <f>+'[15]SA 2020 2024'!$F43</f>
        <v>150000000</v>
      </c>
      <c r="I121" s="25">
        <f t="shared" si="92"/>
        <v>140000000</v>
      </c>
      <c r="J121" s="47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7">
        <f t="shared" si="58"/>
        <v>1</v>
      </c>
      <c r="AH121" s="24">
        <f t="shared" si="97"/>
        <v>10000000</v>
      </c>
      <c r="AI121" s="24"/>
      <c r="AJ121" s="24">
        <f>+[8]AGOSTO!$K$2660</f>
        <v>10000000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61"/>
        <v>0</v>
      </c>
      <c r="BG121" s="24">
        <f t="shared" si="70"/>
        <v>0</v>
      </c>
      <c r="BH121" s="24">
        <f t="shared" si="95"/>
        <v>0</v>
      </c>
      <c r="BI121" s="24">
        <f t="shared" si="95"/>
        <v>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7">
        <f t="shared" si="98"/>
        <v>1</v>
      </c>
      <c r="CF121" s="24">
        <f t="shared" si="99"/>
        <v>10000000</v>
      </c>
      <c r="CG121" s="24"/>
      <c r="CH121" s="24">
        <f>+[3]SEPTIEMBRE!$H$2987</f>
        <v>10000000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9"/>
        <v>0</v>
      </c>
      <c r="DE121" s="24">
        <f t="shared" si="89"/>
        <v>0</v>
      </c>
      <c r="DF121" s="24">
        <f t="shared" si="96"/>
        <v>0</v>
      </c>
      <c r="DG121" s="24">
        <f t="shared" si="96"/>
        <v>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31">
        <f t="shared" si="60"/>
        <v>10000000</v>
      </c>
      <c r="EE121" s="31">
        <f t="shared" si="62"/>
        <v>10000000</v>
      </c>
      <c r="EF121" s="31">
        <f t="shared" si="63"/>
        <v>10000000</v>
      </c>
    </row>
    <row r="122" spans="1:136" ht="21" customHeight="1" x14ac:dyDescent="0.25">
      <c r="A122" s="208"/>
      <c r="B122" s="255"/>
      <c r="C122" s="50" t="s">
        <v>349</v>
      </c>
      <c r="D122" s="35" t="s">
        <v>350</v>
      </c>
      <c r="E122" s="79">
        <v>510</v>
      </c>
      <c r="F122" s="23" t="s">
        <v>240</v>
      </c>
      <c r="G122" s="24">
        <f t="shared" si="86"/>
        <v>255040000</v>
      </c>
      <c r="H122" s="25">
        <f>+'[15]SA 2020 2024'!$F44</f>
        <v>280000000</v>
      </c>
      <c r="I122" s="25">
        <f t="shared" si="92"/>
        <v>24960000</v>
      </c>
      <c r="J122" s="47"/>
      <c r="K122" s="24">
        <f>100000000+42000000</f>
        <v>142000000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f>50000000+63040000</f>
        <v>113040000</v>
      </c>
      <c r="AB122" s="24"/>
      <c r="AC122" s="24"/>
      <c r="AD122" s="24"/>
      <c r="AE122" s="24"/>
      <c r="AF122" s="24">
        <v>0</v>
      </c>
      <c r="AG122" s="27">
        <f t="shared" si="58"/>
        <v>0.81963613550815562</v>
      </c>
      <c r="AH122" s="24">
        <f t="shared" si="97"/>
        <v>209040000</v>
      </c>
      <c r="AI122" s="24"/>
      <c r="AJ122" s="24">
        <f>+[4]JULIO!$K$2499</f>
        <v>119000000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+[3]SEPTIEMBRE!$AA$2996</f>
        <v>90040000</v>
      </c>
      <c r="BA122" s="24"/>
      <c r="BB122" s="24"/>
      <c r="BC122" s="24"/>
      <c r="BD122" s="24"/>
      <c r="BE122" s="24"/>
      <c r="BF122" s="27">
        <f t="shared" si="61"/>
        <v>0.18036386449184438</v>
      </c>
      <c r="BG122" s="24">
        <f t="shared" si="70"/>
        <v>46000000</v>
      </c>
      <c r="BH122" s="24">
        <f t="shared" si="95"/>
        <v>0</v>
      </c>
      <c r="BI122" s="24">
        <f t="shared" si="95"/>
        <v>23000000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23000000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7">
        <f t="shared" si="98"/>
        <v>0.80248849592220828</v>
      </c>
      <c r="CF122" s="24">
        <f t="shared" si="99"/>
        <v>204666666</v>
      </c>
      <c r="CG122" s="24"/>
      <c r="CH122" s="24">
        <f>+[2]OCTUBRE!$H$3196+[2]OCTUBRE!$H$3205+[2]OCTUBRE!$H$3222</f>
        <v>115000000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+[2]OCTUBRE!$H$3208+[2]OCTUBRE!$H$3215+[2]OCTUBRE!$H$3226</f>
        <v>89666666</v>
      </c>
      <c r="CY122" s="24"/>
      <c r="CZ122" s="24"/>
      <c r="DA122" s="24"/>
      <c r="DB122" s="24"/>
      <c r="DC122" s="24"/>
      <c r="DD122" s="27">
        <f t="shared" si="59"/>
        <v>0.19751150407779172</v>
      </c>
      <c r="DE122" s="24">
        <f t="shared" si="89"/>
        <v>50373334</v>
      </c>
      <c r="DF122" s="24">
        <f t="shared" si="96"/>
        <v>0</v>
      </c>
      <c r="DG122" s="24">
        <f t="shared" si="96"/>
        <v>27000000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23373334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31">
        <f t="shared" si="60"/>
        <v>255040000</v>
      </c>
      <c r="EE122" s="31">
        <f t="shared" si="62"/>
        <v>255040000</v>
      </c>
      <c r="EF122" s="31">
        <f t="shared" si="63"/>
        <v>255040000</v>
      </c>
    </row>
    <row r="123" spans="1:136" ht="30" customHeight="1" x14ac:dyDescent="0.25">
      <c r="A123" s="208"/>
      <c r="B123" s="255"/>
      <c r="C123" s="50" t="s">
        <v>351</v>
      </c>
      <c r="D123" s="35" t="s">
        <v>352</v>
      </c>
      <c r="E123" s="79">
        <v>510</v>
      </c>
      <c r="F123" s="23" t="s">
        <v>240</v>
      </c>
      <c r="G123" s="24">
        <f t="shared" si="86"/>
        <v>150000000</v>
      </c>
      <c r="H123" s="25">
        <f>+'[15]SA 2020 2024'!$F45</f>
        <v>200000000</v>
      </c>
      <c r="I123" s="25">
        <f t="shared" si="92"/>
        <v>50000000</v>
      </c>
      <c r="J123" s="47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7">
        <f t="shared" si="58"/>
        <v>0.84444444666666663</v>
      </c>
      <c r="AH123" s="24">
        <f t="shared" si="97"/>
        <v>126666667</v>
      </c>
      <c r="AI123" s="24"/>
      <c r="AJ123" s="24">
        <f>+[2]OCTUBRE!$K$3234</f>
        <v>84333333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+[4]JULIO!$AA$2530</f>
        <v>42333334</v>
      </c>
      <c r="BA123" s="24"/>
      <c r="BB123" s="24"/>
      <c r="BC123" s="24"/>
      <c r="BD123" s="24"/>
      <c r="BE123" s="24"/>
      <c r="BF123" s="27">
        <f t="shared" si="61"/>
        <v>0.15555555333333337</v>
      </c>
      <c r="BG123" s="24">
        <f t="shared" si="70"/>
        <v>23333333</v>
      </c>
      <c r="BH123" s="24">
        <f t="shared" si="95"/>
        <v>0</v>
      </c>
      <c r="BI123" s="24">
        <f t="shared" si="95"/>
        <v>15666667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7666666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7">
        <f t="shared" si="98"/>
        <v>0.67666665999999998</v>
      </c>
      <c r="CF123" s="24">
        <f t="shared" si="99"/>
        <v>101499999</v>
      </c>
      <c r="CG123" s="24"/>
      <c r="CH123" s="24">
        <f>+[4]JULIO!$H$2531+[4]JULIO!$H$2540+[4]JULIO!$H$2548</f>
        <v>64333333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+[4]JULIO!$H$2528-CH123</f>
        <v>37166666</v>
      </c>
      <c r="CY123" s="24"/>
      <c r="CZ123" s="24"/>
      <c r="DA123" s="24"/>
      <c r="DB123" s="24"/>
      <c r="DC123" s="24"/>
      <c r="DD123" s="27">
        <f t="shared" si="59"/>
        <v>0.32333334000000002</v>
      </c>
      <c r="DE123" s="24">
        <f t="shared" si="89"/>
        <v>48500001</v>
      </c>
      <c r="DF123" s="24">
        <f t="shared" si="96"/>
        <v>0</v>
      </c>
      <c r="DG123" s="24">
        <f t="shared" si="96"/>
        <v>35666667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12833334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31">
        <f t="shared" si="60"/>
        <v>150000000</v>
      </c>
      <c r="EE123" s="31">
        <f t="shared" si="62"/>
        <v>150000000</v>
      </c>
      <c r="EF123" s="31">
        <f t="shared" si="63"/>
        <v>150000000</v>
      </c>
    </row>
    <row r="124" spans="1:136" ht="32.450000000000003" customHeight="1" x14ac:dyDescent="0.25">
      <c r="A124" s="208"/>
      <c r="B124" s="255"/>
      <c r="C124" s="50" t="s">
        <v>353</v>
      </c>
      <c r="D124" s="35" t="s">
        <v>354</v>
      </c>
      <c r="E124" s="79">
        <v>510</v>
      </c>
      <c r="F124" s="23" t="s">
        <v>240</v>
      </c>
      <c r="G124" s="24">
        <f t="shared" si="86"/>
        <v>80700000</v>
      </c>
      <c r="H124" s="25">
        <f>+'[15]SA 2020 2024'!$F46</f>
        <v>200000000</v>
      </c>
      <c r="I124" s="25">
        <f t="shared" si="92"/>
        <v>119300000</v>
      </c>
      <c r="J124" s="47"/>
      <c r="K124" s="24">
        <f>100000000-50000000</f>
        <v>50000000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>
        <v>30700000</v>
      </c>
      <c r="AB124" s="24"/>
      <c r="AC124" s="24"/>
      <c r="AD124" s="24"/>
      <c r="AE124" s="24"/>
      <c r="AF124" s="24">
        <v>0</v>
      </c>
      <c r="AG124" s="27">
        <f t="shared" si="58"/>
        <v>0.9035522552664188</v>
      </c>
      <c r="AH124" s="24">
        <f t="shared" si="97"/>
        <v>72916667</v>
      </c>
      <c r="AI124" s="24"/>
      <c r="AJ124" s="24">
        <f>+[4]JULIO!$K$2566</f>
        <v>42216667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>
        <f>+[2]OCTUBRE!$AA$3270</f>
        <v>30700000</v>
      </c>
      <c r="BA124" s="24"/>
      <c r="BB124" s="24"/>
      <c r="BC124" s="24"/>
      <c r="BD124" s="24"/>
      <c r="BE124" s="24"/>
      <c r="BF124" s="27">
        <f t="shared" si="61"/>
        <v>9.6447744733581198E-2</v>
      </c>
      <c r="BG124" s="24">
        <f t="shared" si="70"/>
        <v>7783333</v>
      </c>
      <c r="BH124" s="24">
        <f t="shared" si="95"/>
        <v>0</v>
      </c>
      <c r="BI124" s="24">
        <f t="shared" si="95"/>
        <v>7783333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7">
        <f t="shared" si="98"/>
        <v>0.6365551301115242</v>
      </c>
      <c r="CF124" s="24">
        <f t="shared" si="99"/>
        <v>51369999</v>
      </c>
      <c r="CG124" s="24"/>
      <c r="CH124" s="24">
        <f>+[2]OCTUBRE!$H$3271+[2]OCTUBRE!$H$3274</f>
        <v>40263333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>
        <f>+[2]OCTUBRE!$H$3277</f>
        <v>11106666</v>
      </c>
      <c r="CY124" s="24"/>
      <c r="CZ124" s="24"/>
      <c r="DA124" s="24"/>
      <c r="DB124" s="24"/>
      <c r="DC124" s="24"/>
      <c r="DD124" s="27">
        <f t="shared" si="59"/>
        <v>0.3634448698884758</v>
      </c>
      <c r="DE124" s="24">
        <f t="shared" si="89"/>
        <v>29330001</v>
      </c>
      <c r="DF124" s="24">
        <f t="shared" si="96"/>
        <v>0</v>
      </c>
      <c r="DG124" s="24">
        <f t="shared" si="96"/>
        <v>9736667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19593334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31">
        <f t="shared" si="60"/>
        <v>80700000</v>
      </c>
      <c r="EE124" s="31">
        <f t="shared" si="62"/>
        <v>80700000</v>
      </c>
      <c r="EF124" s="31">
        <f t="shared" si="63"/>
        <v>80700000</v>
      </c>
    </row>
    <row r="125" spans="1:136" ht="31.5" customHeight="1" x14ac:dyDescent="0.25">
      <c r="A125" s="208"/>
      <c r="B125" s="255"/>
      <c r="C125" s="50" t="s">
        <v>355</v>
      </c>
      <c r="D125" s="35" t="s">
        <v>356</v>
      </c>
      <c r="E125" s="79">
        <v>510</v>
      </c>
      <c r="F125" s="23" t="s">
        <v>357</v>
      </c>
      <c r="G125" s="24">
        <f t="shared" si="86"/>
        <v>61107500</v>
      </c>
      <c r="H125" s="25">
        <f>+'[15]SA 2020 2024'!$F47</f>
        <v>200000000</v>
      </c>
      <c r="I125" s="25">
        <f t="shared" si="92"/>
        <v>138892500</v>
      </c>
      <c r="J125" s="47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7">
        <f t="shared" si="58"/>
        <v>0.19146585934623409</v>
      </c>
      <c r="AH125" s="24">
        <f t="shared" si="97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+'[11]ABRIL 2020'!$AG$3533</f>
        <v>11700000</v>
      </c>
      <c r="BF125" s="27">
        <f t="shared" si="61"/>
        <v>0.80853414065376594</v>
      </c>
      <c r="BG125" s="24">
        <f t="shared" si="70"/>
        <v>49407500</v>
      </c>
      <c r="BH125" s="24">
        <f t="shared" si="95"/>
        <v>0</v>
      </c>
      <c r="BI125" s="24">
        <f t="shared" si="95"/>
        <v>49407500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7">
        <f t="shared" si="98"/>
        <v>0.19130221331260483</v>
      </c>
      <c r="CF125" s="24">
        <f t="shared" si="99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+'[10]MAYO 2020'!$H$3625</f>
        <v>11690000</v>
      </c>
      <c r="DD125" s="27">
        <f t="shared" si="59"/>
        <v>0.80869778668739523</v>
      </c>
      <c r="DE125" s="24">
        <f t="shared" si="89"/>
        <v>49417500</v>
      </c>
      <c r="DF125" s="24">
        <f t="shared" si="96"/>
        <v>0</v>
      </c>
      <c r="DG125" s="24">
        <f t="shared" si="96"/>
        <v>49407500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10000</v>
      </c>
      <c r="ED125" s="31">
        <f t="shared" si="60"/>
        <v>61107500</v>
      </c>
      <c r="EE125" s="31">
        <f t="shared" si="62"/>
        <v>61107500</v>
      </c>
      <c r="EF125" s="31">
        <f t="shared" si="63"/>
        <v>61107500</v>
      </c>
    </row>
    <row r="126" spans="1:136" ht="31.5" customHeight="1" x14ac:dyDescent="0.25">
      <c r="A126" s="208"/>
      <c r="B126" s="255"/>
      <c r="C126" s="50" t="s">
        <v>358</v>
      </c>
      <c r="D126" s="35" t="s">
        <v>359</v>
      </c>
      <c r="E126" s="79">
        <v>510</v>
      </c>
      <c r="F126" s="23" t="s">
        <v>240</v>
      </c>
      <c r="G126" s="24">
        <f t="shared" si="86"/>
        <v>192000000</v>
      </c>
      <c r="H126" s="25">
        <f>+'[15]SA 2020 2024'!$F48</f>
        <v>200000000</v>
      </c>
      <c r="I126" s="25">
        <f t="shared" si="92"/>
        <v>8000000</v>
      </c>
      <c r="J126" s="47"/>
      <c r="K126" s="24">
        <f>100000000+12000000</f>
        <v>112000000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7">
        <f t="shared" si="58"/>
        <v>1</v>
      </c>
      <c r="AH126" s="24">
        <f t="shared" si="97"/>
        <v>192000000</v>
      </c>
      <c r="AI126" s="24"/>
      <c r="AJ126" s="24">
        <f>+[3]SEPTIEMBRE!$K$3088</f>
        <v>112000000</v>
      </c>
      <c r="AK126" s="24"/>
      <c r="AL126" s="24"/>
      <c r="AM126" s="24"/>
      <c r="AN126" s="24">
        <f>+[4]JULIO!$O$2587</f>
        <v>80000000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7">
        <f t="shared" si="61"/>
        <v>0</v>
      </c>
      <c r="BG126" s="24">
        <f t="shared" si="70"/>
        <v>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7">
        <f t="shared" si="98"/>
        <v>0.95093749999999999</v>
      </c>
      <c r="CF126" s="24">
        <f t="shared" si="99"/>
        <v>182580000</v>
      </c>
      <c r="CG126" s="24"/>
      <c r="CH126" s="24">
        <f>+[2]OCTUBRE!$H$3292+[2]OCTUBRE!$H$3296+[2]OCTUBRE!$H$3300+[2]OCTUBRE!$H$3304+[2]OCTUBRE!$H$3327+[2]OCTUBRE!$H$3330+[2]OCTUBRE!$H$3340</f>
        <v>102863333</v>
      </c>
      <c r="CI126" s="24"/>
      <c r="CJ126" s="24"/>
      <c r="CK126" s="24"/>
      <c r="CL126" s="24">
        <f>+[4]JULIO!$H$2616+[4]JULIO!$H$2611+[4]JULIO!$H$2630+[4]JULIO!$H$2633</f>
        <v>79716667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7">
        <f t="shared" si="59"/>
        <v>4.9062500000000009E-2</v>
      </c>
      <c r="DE126" s="24">
        <f t="shared" si="89"/>
        <v>9420000</v>
      </c>
      <c r="DF126" s="24">
        <f t="shared" si="96"/>
        <v>0</v>
      </c>
      <c r="DG126" s="24">
        <f t="shared" si="96"/>
        <v>9136667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283333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31">
        <f t="shared" si="60"/>
        <v>192000000</v>
      </c>
      <c r="EE126" s="31">
        <f t="shared" si="62"/>
        <v>192000000</v>
      </c>
      <c r="EF126" s="31">
        <f t="shared" si="63"/>
        <v>192000000</v>
      </c>
    </row>
    <row r="127" spans="1:136" ht="23.45" customHeight="1" x14ac:dyDescent="0.25">
      <c r="A127" s="208"/>
      <c r="B127" s="228" t="s">
        <v>360</v>
      </c>
      <c r="C127" s="50" t="s">
        <v>361</v>
      </c>
      <c r="D127" s="35" t="s">
        <v>362</v>
      </c>
      <c r="E127" s="79">
        <v>310</v>
      </c>
      <c r="F127" s="23" t="s">
        <v>240</v>
      </c>
      <c r="G127" s="24">
        <f t="shared" si="86"/>
        <v>57000000</v>
      </c>
      <c r="H127" s="25">
        <f>+'[15]SA 2020 2024'!$F54</f>
        <v>180000000</v>
      </c>
      <c r="I127" s="25">
        <f t="shared" si="92"/>
        <v>123000000</v>
      </c>
      <c r="J127" s="47"/>
      <c r="K127" s="24">
        <f>157000000-100000000</f>
        <v>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7">
        <f t="shared" si="58"/>
        <v>0.70175438596491224</v>
      </c>
      <c r="AH127" s="24">
        <f t="shared" si="97"/>
        <v>40000000</v>
      </c>
      <c r="AI127" s="24"/>
      <c r="AJ127" s="24">
        <f>+'[9]ENERO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61"/>
        <v>0.29824561403508776</v>
      </c>
      <c r="BG127" s="24">
        <f t="shared" si="70"/>
        <v>17000000</v>
      </c>
      <c r="BH127" s="24">
        <f t="shared" si="95"/>
        <v>0</v>
      </c>
      <c r="BI127" s="24">
        <f t="shared" si="95"/>
        <v>17000000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7">
        <f t="shared" si="98"/>
        <v>0.27984631578947367</v>
      </c>
      <c r="CF127" s="24">
        <f t="shared" si="99"/>
        <v>15951240</v>
      </c>
      <c r="CG127" s="24"/>
      <c r="CH127" s="24">
        <f>+[4]JULIO!$H$595+[4]JULIO!$H$600</f>
        <v>15951240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9"/>
        <v>0.72015368421052628</v>
      </c>
      <c r="DE127" s="24">
        <f t="shared" si="89"/>
        <v>41048760</v>
      </c>
      <c r="DF127" s="24">
        <f t="shared" si="96"/>
        <v>0</v>
      </c>
      <c r="DG127" s="24">
        <f t="shared" si="96"/>
        <v>41048760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31">
        <f t="shared" si="60"/>
        <v>57000000</v>
      </c>
      <c r="EE127" s="31">
        <f t="shared" si="62"/>
        <v>57000000</v>
      </c>
      <c r="EF127" s="31">
        <f t="shared" si="63"/>
        <v>57000000</v>
      </c>
    </row>
    <row r="128" spans="1:136" ht="49.5" customHeight="1" x14ac:dyDescent="0.25">
      <c r="A128" s="208"/>
      <c r="B128" s="229"/>
      <c r="C128" s="50" t="s">
        <v>363</v>
      </c>
      <c r="D128" s="35" t="s">
        <v>364</v>
      </c>
      <c r="E128" s="79">
        <v>310</v>
      </c>
      <c r="F128" s="23" t="s">
        <v>365</v>
      </c>
      <c r="G128" s="24">
        <f t="shared" si="86"/>
        <v>180000000</v>
      </c>
      <c r="H128" s="25">
        <f>+'[15]SA 2020 2024'!$F55</f>
        <v>80000000</v>
      </c>
      <c r="I128" s="25">
        <f t="shared" si="92"/>
        <v>-100000000</v>
      </c>
      <c r="J128" s="47"/>
      <c r="K128" s="24">
        <f>73000000+100000000</f>
        <v>173000000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7">
        <f t="shared" si="58"/>
        <v>0.44444444444444442</v>
      </c>
      <c r="AH128" s="24">
        <f t="shared" si="97"/>
        <v>80000000</v>
      </c>
      <c r="AI128" s="24"/>
      <c r="AJ128" s="24">
        <f>+'[5]FEBRERO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f>+[8]AGOSTO!$AG$658</f>
        <v>7000000</v>
      </c>
      <c r="BF128" s="27">
        <f t="shared" si="61"/>
        <v>0.55555555555555558</v>
      </c>
      <c r="BG128" s="24">
        <f t="shared" si="70"/>
        <v>100000000</v>
      </c>
      <c r="BH128" s="24">
        <f t="shared" si="95"/>
        <v>0</v>
      </c>
      <c r="BI128" s="24">
        <f t="shared" si="95"/>
        <v>100000000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0</v>
      </c>
      <c r="CE128" s="27">
        <f t="shared" si="98"/>
        <v>0.15246645555555555</v>
      </c>
      <c r="CF128" s="24">
        <f t="shared" si="99"/>
        <v>27443962</v>
      </c>
      <c r="CG128" s="24"/>
      <c r="CH128" s="24">
        <f>+[3]SEPTIEMBRE!$H$739+[3]SEPTIEMBRE!$H$744</f>
        <v>24111962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>
        <f>+[3]SEPTIEMBRE!$H$770</f>
        <v>3332000</v>
      </c>
      <c r="DD128" s="27">
        <f t="shared" si="59"/>
        <v>0.84753354444444451</v>
      </c>
      <c r="DE128" s="24">
        <f t="shared" si="89"/>
        <v>152556038</v>
      </c>
      <c r="DF128" s="24">
        <f t="shared" si="96"/>
        <v>0</v>
      </c>
      <c r="DG128" s="24">
        <f t="shared" si="96"/>
        <v>148888038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3668000</v>
      </c>
      <c r="ED128" s="31">
        <f t="shared" si="60"/>
        <v>180000000</v>
      </c>
      <c r="EE128" s="31">
        <f t="shared" si="62"/>
        <v>180000000</v>
      </c>
      <c r="EF128" s="31">
        <f t="shared" si="63"/>
        <v>180000000</v>
      </c>
    </row>
    <row r="129" spans="1:136" s="44" customFormat="1" ht="20.25" customHeight="1" thickBot="1" x14ac:dyDescent="0.3">
      <c r="A129" s="84"/>
      <c r="B129" s="244" t="s">
        <v>366</v>
      </c>
      <c r="C129" s="245"/>
      <c r="D129" s="246"/>
      <c r="E129" s="85"/>
      <c r="F129" s="86"/>
      <c r="G129" s="58">
        <f t="shared" ref="G129:AF129" si="100">SUM(G98:G128)</f>
        <v>18901874766</v>
      </c>
      <c r="H129" s="58">
        <f t="shared" si="100"/>
        <v>22362040000</v>
      </c>
      <c r="I129" s="58">
        <f t="shared" si="100"/>
        <v>3460165234</v>
      </c>
      <c r="J129" s="58">
        <f t="shared" si="100"/>
        <v>799415867</v>
      </c>
      <c r="K129" s="58">
        <f t="shared" si="100"/>
        <v>1369407500</v>
      </c>
      <c r="L129" s="58">
        <f t="shared" si="100"/>
        <v>0</v>
      </c>
      <c r="M129" s="58">
        <f t="shared" si="100"/>
        <v>60360507</v>
      </c>
      <c r="N129" s="58">
        <f t="shared" si="100"/>
        <v>10500000000</v>
      </c>
      <c r="O129" s="58">
        <f t="shared" si="100"/>
        <v>160000000</v>
      </c>
      <c r="P129" s="58">
        <f t="shared" si="100"/>
        <v>265157791</v>
      </c>
      <c r="Q129" s="58">
        <f t="shared" si="100"/>
        <v>199971441</v>
      </c>
      <c r="R129" s="58">
        <f t="shared" si="100"/>
        <v>425598133</v>
      </c>
      <c r="S129" s="58">
        <f t="shared" si="100"/>
        <v>271702575</v>
      </c>
      <c r="T129" s="58">
        <f t="shared" si="100"/>
        <v>270166669</v>
      </c>
      <c r="U129" s="58">
        <f t="shared" si="100"/>
        <v>363200802</v>
      </c>
      <c r="V129" s="58">
        <f t="shared" si="100"/>
        <v>101231112</v>
      </c>
      <c r="W129" s="58">
        <f t="shared" si="100"/>
        <v>459603682</v>
      </c>
      <c r="X129" s="58">
        <f t="shared" si="100"/>
        <v>183785326</v>
      </c>
      <c r="Y129" s="58">
        <f t="shared" si="100"/>
        <v>113002893</v>
      </c>
      <c r="Z129" s="58">
        <f t="shared" si="100"/>
        <v>0</v>
      </c>
      <c r="AA129" s="58">
        <f t="shared" si="100"/>
        <v>1839163507</v>
      </c>
      <c r="AB129" s="58">
        <f t="shared" si="100"/>
        <v>453648399</v>
      </c>
      <c r="AC129" s="58">
        <f t="shared" si="100"/>
        <v>0</v>
      </c>
      <c r="AD129" s="58">
        <f t="shared" si="100"/>
        <v>0</v>
      </c>
      <c r="AE129" s="58">
        <f t="shared" si="100"/>
        <v>198612987</v>
      </c>
      <c r="AF129" s="58">
        <f t="shared" si="100"/>
        <v>867845575</v>
      </c>
      <c r="AG129" s="59">
        <f t="shared" si="58"/>
        <v>0.47346363478705106</v>
      </c>
      <c r="AH129" s="58">
        <f t="shared" ref="AH129:BE129" si="101">SUM(AH98:AH128)</f>
        <v>8949350331</v>
      </c>
      <c r="AI129" s="58">
        <f t="shared" si="101"/>
        <v>703845566</v>
      </c>
      <c r="AJ129" s="58">
        <f t="shared" si="101"/>
        <v>1128077181</v>
      </c>
      <c r="AK129" s="58">
        <f t="shared" si="101"/>
        <v>0</v>
      </c>
      <c r="AL129" s="58">
        <f t="shared" si="101"/>
        <v>0</v>
      </c>
      <c r="AM129" s="58">
        <f t="shared" si="101"/>
        <v>3644933044</v>
      </c>
      <c r="AN129" s="58">
        <f t="shared" si="101"/>
        <v>80000000</v>
      </c>
      <c r="AO129" s="58">
        <f t="shared" si="101"/>
        <v>265157791</v>
      </c>
      <c r="AP129" s="58">
        <f t="shared" si="101"/>
        <v>156550279</v>
      </c>
      <c r="AQ129" s="58">
        <f t="shared" si="101"/>
        <v>311999999</v>
      </c>
      <c r="AR129" s="58">
        <f t="shared" si="101"/>
        <v>180103239</v>
      </c>
      <c r="AS129" s="58">
        <f t="shared" si="101"/>
        <v>70000000</v>
      </c>
      <c r="AT129" s="58">
        <f t="shared" si="101"/>
        <v>63000000</v>
      </c>
      <c r="AU129" s="58">
        <f t="shared" si="101"/>
        <v>37231112</v>
      </c>
      <c r="AV129" s="58">
        <f t="shared" si="101"/>
        <v>20000000</v>
      </c>
      <c r="AW129" s="58">
        <f t="shared" si="101"/>
        <v>20000000</v>
      </c>
      <c r="AX129" s="58">
        <f t="shared" si="101"/>
        <v>113002893</v>
      </c>
      <c r="AY129" s="58">
        <f t="shared" si="101"/>
        <v>0</v>
      </c>
      <c r="AZ129" s="58">
        <f t="shared" si="101"/>
        <v>1216305192</v>
      </c>
      <c r="BA129" s="58">
        <f t="shared" si="101"/>
        <v>85976539</v>
      </c>
      <c r="BB129" s="58">
        <f t="shared" si="101"/>
        <v>0</v>
      </c>
      <c r="BC129" s="58">
        <f t="shared" si="101"/>
        <v>0</v>
      </c>
      <c r="BD129" s="58">
        <f t="shared" si="101"/>
        <v>198612987</v>
      </c>
      <c r="BE129" s="58">
        <f t="shared" si="101"/>
        <v>654554509</v>
      </c>
      <c r="BF129" s="59">
        <f t="shared" si="61"/>
        <v>0.52653636521294889</v>
      </c>
      <c r="BG129" s="58">
        <f t="shared" ref="BG129:CD129" si="102">SUM(BG98:BG128)</f>
        <v>9952524435</v>
      </c>
      <c r="BH129" s="58">
        <f t="shared" si="102"/>
        <v>95570301</v>
      </c>
      <c r="BI129" s="58">
        <f t="shared" si="102"/>
        <v>241330319</v>
      </c>
      <c r="BJ129" s="58">
        <f t="shared" si="102"/>
        <v>0</v>
      </c>
      <c r="BK129" s="58">
        <f t="shared" si="102"/>
        <v>60360507</v>
      </c>
      <c r="BL129" s="58">
        <f t="shared" si="102"/>
        <v>6855066956</v>
      </c>
      <c r="BM129" s="58">
        <f t="shared" si="102"/>
        <v>80000000</v>
      </c>
      <c r="BN129" s="58">
        <f t="shared" si="102"/>
        <v>0</v>
      </c>
      <c r="BO129" s="58">
        <f t="shared" si="102"/>
        <v>43421162</v>
      </c>
      <c r="BP129" s="58">
        <f t="shared" si="102"/>
        <v>113598134</v>
      </c>
      <c r="BQ129" s="58">
        <f t="shared" si="102"/>
        <v>91599336</v>
      </c>
      <c r="BR129" s="58">
        <f t="shared" si="102"/>
        <v>200166669</v>
      </c>
      <c r="BS129" s="58">
        <f t="shared" si="102"/>
        <v>300200802</v>
      </c>
      <c r="BT129" s="58">
        <f t="shared" si="102"/>
        <v>64000000</v>
      </c>
      <c r="BU129" s="58">
        <f t="shared" si="102"/>
        <v>439603682</v>
      </c>
      <c r="BV129" s="58">
        <f t="shared" si="102"/>
        <v>163785326</v>
      </c>
      <c r="BW129" s="58">
        <f t="shared" si="102"/>
        <v>0</v>
      </c>
      <c r="BX129" s="58">
        <f t="shared" si="102"/>
        <v>0</v>
      </c>
      <c r="BY129" s="58">
        <f t="shared" si="102"/>
        <v>622858315</v>
      </c>
      <c r="BZ129" s="58">
        <f t="shared" si="102"/>
        <v>367671860</v>
      </c>
      <c r="CA129" s="58">
        <f t="shared" si="102"/>
        <v>0</v>
      </c>
      <c r="CB129" s="58">
        <f t="shared" si="102"/>
        <v>0</v>
      </c>
      <c r="CC129" s="58">
        <f t="shared" si="102"/>
        <v>0</v>
      </c>
      <c r="CD129" s="58">
        <f t="shared" si="102"/>
        <v>213291066</v>
      </c>
      <c r="CE129" s="69">
        <f t="shared" si="98"/>
        <v>0.41073190824250327</v>
      </c>
      <c r="CF129" s="58">
        <f>SUM(CF98:CF128)</f>
        <v>7763603092</v>
      </c>
      <c r="CG129" s="58">
        <f>SUM(CG98:CG128)</f>
        <v>621958094</v>
      </c>
      <c r="CH129" s="58">
        <f>SUM(CH98:CH128)</f>
        <v>989253530</v>
      </c>
      <c r="CI129" s="58">
        <f>SUM(CI98:CI128)</f>
        <v>0</v>
      </c>
      <c r="CJ129" s="58">
        <f>SUM(CI98:CI128)</f>
        <v>0</v>
      </c>
      <c r="CK129" s="58">
        <f t="shared" ref="CK129:DC129" si="103">SUM(CK98:CK128)</f>
        <v>3643156231</v>
      </c>
      <c r="CL129" s="58">
        <f t="shared" si="103"/>
        <v>79716667</v>
      </c>
      <c r="CM129" s="58">
        <f t="shared" si="103"/>
        <v>265157791</v>
      </c>
      <c r="CN129" s="58">
        <f t="shared" si="103"/>
        <v>90937029</v>
      </c>
      <c r="CO129" s="58">
        <f t="shared" si="103"/>
        <v>280120178</v>
      </c>
      <c r="CP129" s="58">
        <f t="shared" si="103"/>
        <v>177903931</v>
      </c>
      <c r="CQ129" s="58">
        <f t="shared" si="103"/>
        <v>59002046</v>
      </c>
      <c r="CR129" s="58">
        <f t="shared" si="103"/>
        <v>62934552</v>
      </c>
      <c r="CS129" s="58">
        <f t="shared" si="103"/>
        <v>0</v>
      </c>
      <c r="CT129" s="58">
        <f t="shared" si="103"/>
        <v>0</v>
      </c>
      <c r="CU129" s="58">
        <f t="shared" si="103"/>
        <v>0</v>
      </c>
      <c r="CV129" s="58">
        <f t="shared" si="103"/>
        <v>113002893</v>
      </c>
      <c r="CW129" s="58">
        <f t="shared" si="103"/>
        <v>0</v>
      </c>
      <c r="CX129" s="58">
        <f t="shared" si="103"/>
        <v>1113569232</v>
      </c>
      <c r="CY129" s="58">
        <f t="shared" si="103"/>
        <v>83906539</v>
      </c>
      <c r="CZ129" s="58">
        <f t="shared" si="103"/>
        <v>0</v>
      </c>
      <c r="DA129" s="58">
        <f t="shared" si="103"/>
        <v>0</v>
      </c>
      <c r="DB129" s="58">
        <f t="shared" si="103"/>
        <v>0</v>
      </c>
      <c r="DC129" s="58">
        <f t="shared" si="103"/>
        <v>182984379</v>
      </c>
      <c r="DD129" s="59">
        <f t="shared" si="59"/>
        <v>0.58926809175749673</v>
      </c>
      <c r="DE129" s="58">
        <f t="shared" ref="DE129:EB129" si="104">SUM(DE98:DE128)</f>
        <v>11138271674</v>
      </c>
      <c r="DF129" s="58">
        <f t="shared" si="104"/>
        <v>177457773</v>
      </c>
      <c r="DG129" s="58">
        <f t="shared" si="104"/>
        <v>380153970</v>
      </c>
      <c r="DH129" s="58">
        <f t="shared" si="104"/>
        <v>0</v>
      </c>
      <c r="DI129" s="58">
        <f t="shared" si="104"/>
        <v>60360507</v>
      </c>
      <c r="DJ129" s="58">
        <f t="shared" si="104"/>
        <v>6856843769</v>
      </c>
      <c r="DK129" s="58">
        <f t="shared" si="104"/>
        <v>80283333</v>
      </c>
      <c r="DL129" s="58">
        <f t="shared" si="104"/>
        <v>0</v>
      </c>
      <c r="DM129" s="58">
        <f t="shared" si="104"/>
        <v>109034412</v>
      </c>
      <c r="DN129" s="58">
        <f t="shared" si="104"/>
        <v>145477955</v>
      </c>
      <c r="DO129" s="58">
        <f t="shared" si="104"/>
        <v>93798644</v>
      </c>
      <c r="DP129" s="58">
        <f t="shared" si="104"/>
        <v>211164623</v>
      </c>
      <c r="DQ129" s="58">
        <f t="shared" si="104"/>
        <v>300266250</v>
      </c>
      <c r="DR129" s="58">
        <f t="shared" si="104"/>
        <v>101231112</v>
      </c>
      <c r="DS129" s="58">
        <f t="shared" si="104"/>
        <v>459603682</v>
      </c>
      <c r="DT129" s="58">
        <f t="shared" si="104"/>
        <v>183785326</v>
      </c>
      <c r="DU129" s="58">
        <f t="shared" si="104"/>
        <v>0</v>
      </c>
      <c r="DV129" s="58">
        <f t="shared" si="104"/>
        <v>0</v>
      </c>
      <c r="DW129" s="58">
        <f t="shared" si="104"/>
        <v>725594275</v>
      </c>
      <c r="DX129" s="58">
        <f t="shared" si="104"/>
        <v>369741860</v>
      </c>
      <c r="DY129" s="58">
        <f t="shared" si="104"/>
        <v>0</v>
      </c>
      <c r="DZ129" s="58">
        <f t="shared" si="104"/>
        <v>0</v>
      </c>
      <c r="EA129" s="58">
        <f t="shared" si="104"/>
        <v>198612987</v>
      </c>
      <c r="EB129" s="58">
        <f t="shared" si="104"/>
        <v>684861196</v>
      </c>
      <c r="ED129" s="31">
        <f t="shared" si="60"/>
        <v>18901874766</v>
      </c>
      <c r="EE129" s="31">
        <f t="shared" si="62"/>
        <v>18901874766</v>
      </c>
      <c r="EF129" s="31">
        <f t="shared" si="63"/>
        <v>18901874766</v>
      </c>
    </row>
    <row r="130" spans="1:136" ht="5.25" customHeight="1" thickTop="1" x14ac:dyDescent="0.25">
      <c r="C130" s="87"/>
      <c r="D130" s="87"/>
      <c r="E130" s="87"/>
      <c r="F130" s="87"/>
      <c r="G130" s="88"/>
      <c r="H130" s="89"/>
      <c r="I130" s="89"/>
      <c r="J130" s="88"/>
      <c r="K130" s="90"/>
      <c r="L130" s="88"/>
      <c r="M130" s="88"/>
      <c r="N130" s="88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2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2"/>
      <c r="BG130" s="93"/>
      <c r="BH130" s="93"/>
      <c r="BI130" s="93"/>
      <c r="BJ130" s="93"/>
      <c r="BK130" s="93"/>
      <c r="BL130" s="93"/>
      <c r="BM130" s="93"/>
      <c r="BN130" s="93"/>
      <c r="BO130" s="93"/>
      <c r="BP130" s="93"/>
      <c r="BQ130" s="93"/>
      <c r="BR130" s="93"/>
      <c r="BS130" s="93"/>
      <c r="BT130" s="93"/>
      <c r="BU130" s="93"/>
      <c r="BV130" s="93"/>
      <c r="BW130" s="93"/>
      <c r="BX130" s="93"/>
      <c r="BY130" s="93"/>
      <c r="BZ130" s="93"/>
      <c r="CA130" s="93"/>
      <c r="CB130" s="93"/>
      <c r="CC130" s="93"/>
      <c r="CD130" s="93"/>
      <c r="CE130" s="48"/>
      <c r="CF130" s="94"/>
      <c r="CG130" s="93"/>
      <c r="CH130" s="93"/>
      <c r="CI130" s="93"/>
      <c r="CJ130" s="93"/>
      <c r="CK130" s="93"/>
      <c r="CL130" s="93"/>
      <c r="CM130" s="93"/>
      <c r="CN130" s="93"/>
      <c r="CO130" s="93"/>
      <c r="CP130" s="93"/>
      <c r="CQ130" s="93"/>
      <c r="CR130" s="93"/>
      <c r="CS130" s="93"/>
      <c r="CT130" s="93"/>
      <c r="CU130" s="93"/>
      <c r="CV130" s="93"/>
      <c r="CW130" s="93"/>
      <c r="CX130" s="93"/>
      <c r="CY130" s="93"/>
      <c r="CZ130" s="93"/>
      <c r="DA130" s="93"/>
      <c r="DB130" s="93"/>
      <c r="DC130" s="93"/>
      <c r="DD130" s="92"/>
      <c r="DE130" s="93"/>
      <c r="DF130" s="93"/>
      <c r="DG130" s="93"/>
      <c r="DH130" s="93"/>
      <c r="DI130" s="93"/>
      <c r="DJ130" s="93"/>
      <c r="DK130" s="93"/>
      <c r="DL130" s="93"/>
      <c r="DM130" s="93"/>
      <c r="DN130" s="9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D130" s="31"/>
      <c r="EE130" s="31"/>
      <c r="EF130" s="31"/>
    </row>
    <row r="131" spans="1:136" ht="19.5" customHeight="1" x14ac:dyDescent="0.25">
      <c r="C131" s="247" t="s">
        <v>367</v>
      </c>
      <c r="D131" s="248"/>
      <c r="E131" s="249"/>
      <c r="F131" s="95"/>
      <c r="G131" s="93">
        <f t="shared" ref="G131:AF131" si="105">G24+G50+G77+G97+G129</f>
        <v>36582784878</v>
      </c>
      <c r="H131" s="96">
        <f t="shared" si="105"/>
        <v>45545351400.672722</v>
      </c>
      <c r="I131" s="96">
        <f t="shared" si="105"/>
        <v>8962566522.67272</v>
      </c>
      <c r="J131" s="93">
        <f t="shared" si="105"/>
        <v>1296139287</v>
      </c>
      <c r="K131" s="93">
        <f t="shared" si="105"/>
        <v>3070370559</v>
      </c>
      <c r="L131" s="93">
        <f t="shared" si="105"/>
        <v>29883260</v>
      </c>
      <c r="M131" s="93">
        <f t="shared" si="105"/>
        <v>376904086</v>
      </c>
      <c r="N131" s="93">
        <f t="shared" si="105"/>
        <v>10500000000</v>
      </c>
      <c r="O131" s="93">
        <f t="shared" si="105"/>
        <v>160000000</v>
      </c>
      <c r="P131" s="93">
        <f t="shared" si="105"/>
        <v>265157791</v>
      </c>
      <c r="Q131" s="93">
        <f t="shared" si="105"/>
        <v>2176724769</v>
      </c>
      <c r="R131" s="93">
        <f t="shared" si="105"/>
        <v>515598133</v>
      </c>
      <c r="S131" s="93">
        <f t="shared" si="105"/>
        <v>387702575</v>
      </c>
      <c r="T131" s="93">
        <f t="shared" si="105"/>
        <v>390301410</v>
      </c>
      <c r="U131" s="93">
        <f t="shared" si="105"/>
        <v>846056019</v>
      </c>
      <c r="V131" s="93">
        <f t="shared" si="105"/>
        <v>101231112</v>
      </c>
      <c r="W131" s="93">
        <f t="shared" si="105"/>
        <v>459603682</v>
      </c>
      <c r="X131" s="93">
        <f t="shared" si="105"/>
        <v>183785326</v>
      </c>
      <c r="Y131" s="93">
        <f t="shared" si="105"/>
        <v>5263002893</v>
      </c>
      <c r="Z131" s="93">
        <f t="shared" si="105"/>
        <v>1195065295</v>
      </c>
      <c r="AA131" s="93">
        <f t="shared" si="105"/>
        <v>2444583525</v>
      </c>
      <c r="AB131" s="93">
        <f t="shared" si="105"/>
        <v>1510249154</v>
      </c>
      <c r="AC131" s="93">
        <f t="shared" si="105"/>
        <v>1828902165</v>
      </c>
      <c r="AD131" s="93">
        <f t="shared" si="105"/>
        <v>320081566</v>
      </c>
      <c r="AE131" s="93">
        <f t="shared" si="105"/>
        <v>698746490</v>
      </c>
      <c r="AF131" s="93">
        <f t="shared" si="105"/>
        <v>2562695781</v>
      </c>
      <c r="AG131" s="27">
        <f>AH131/G131</f>
        <v>0.61389038871410773</v>
      </c>
      <c r="AH131" s="93">
        <f t="shared" ref="AH131:BE131" si="106">AH24+AH50+AH77+AH97+AH129</f>
        <v>22457820029</v>
      </c>
      <c r="AI131" s="93">
        <f t="shared" si="106"/>
        <v>827576731</v>
      </c>
      <c r="AJ131" s="66">
        <f t="shared" si="106"/>
        <v>2722407075</v>
      </c>
      <c r="AK131" s="66">
        <f t="shared" si="106"/>
        <v>24243035</v>
      </c>
      <c r="AL131" s="66">
        <f t="shared" si="106"/>
        <v>134000000</v>
      </c>
      <c r="AM131" s="66">
        <f t="shared" si="106"/>
        <v>3644933044</v>
      </c>
      <c r="AN131" s="66">
        <f t="shared" si="106"/>
        <v>80000000</v>
      </c>
      <c r="AO131" s="93">
        <f t="shared" si="106"/>
        <v>265157791</v>
      </c>
      <c r="AP131" s="93">
        <f t="shared" si="106"/>
        <v>1964146935</v>
      </c>
      <c r="AQ131" s="93">
        <f t="shared" si="106"/>
        <v>371999999</v>
      </c>
      <c r="AR131" s="93">
        <f t="shared" si="106"/>
        <v>260103239</v>
      </c>
      <c r="AS131" s="93">
        <f t="shared" si="106"/>
        <v>175134741</v>
      </c>
      <c r="AT131" s="93">
        <f t="shared" si="106"/>
        <v>540551251</v>
      </c>
      <c r="AU131" s="93">
        <f t="shared" si="106"/>
        <v>37231112</v>
      </c>
      <c r="AV131" s="93">
        <f t="shared" si="106"/>
        <v>20000000</v>
      </c>
      <c r="AW131" s="93">
        <f t="shared" si="106"/>
        <v>20000000</v>
      </c>
      <c r="AX131" s="93">
        <f t="shared" si="106"/>
        <v>3834190260</v>
      </c>
      <c r="AY131" s="93">
        <f t="shared" si="106"/>
        <v>1086714654</v>
      </c>
      <c r="AZ131" s="93">
        <f t="shared" si="106"/>
        <v>1745869750</v>
      </c>
      <c r="BA131" s="93">
        <f t="shared" si="106"/>
        <v>1018408730</v>
      </c>
      <c r="BB131" s="93">
        <f t="shared" si="106"/>
        <v>791164006</v>
      </c>
      <c r="BC131" s="93">
        <f t="shared" si="106"/>
        <v>290803643</v>
      </c>
      <c r="BD131" s="93">
        <f t="shared" si="106"/>
        <v>651112987</v>
      </c>
      <c r="BE131" s="93">
        <f t="shared" si="106"/>
        <v>1952071046</v>
      </c>
      <c r="BF131" s="97">
        <f>1-AG131</f>
        <v>0.38610961128589227</v>
      </c>
      <c r="BG131" s="93">
        <f t="shared" ref="BG131:CD131" si="107">BG24+BG50+BG77+BG97+BG129</f>
        <v>14124964849</v>
      </c>
      <c r="BH131" s="93">
        <f t="shared" si="107"/>
        <v>468562556</v>
      </c>
      <c r="BI131" s="66">
        <f t="shared" si="107"/>
        <v>347963484</v>
      </c>
      <c r="BJ131" s="66">
        <f t="shared" si="107"/>
        <v>5640225</v>
      </c>
      <c r="BK131" s="66">
        <f t="shared" si="107"/>
        <v>242904086</v>
      </c>
      <c r="BL131" s="66">
        <f t="shared" si="107"/>
        <v>6855066956</v>
      </c>
      <c r="BM131" s="66">
        <f t="shared" si="107"/>
        <v>80000000</v>
      </c>
      <c r="BN131" s="93">
        <f t="shared" si="107"/>
        <v>0</v>
      </c>
      <c r="BO131" s="93">
        <f t="shared" si="107"/>
        <v>212577834</v>
      </c>
      <c r="BP131" s="93">
        <f t="shared" si="107"/>
        <v>143598134</v>
      </c>
      <c r="BQ131" s="93">
        <f t="shared" si="107"/>
        <v>127599336</v>
      </c>
      <c r="BR131" s="93">
        <f t="shared" si="107"/>
        <v>215166669</v>
      </c>
      <c r="BS131" s="93">
        <f t="shared" si="107"/>
        <v>305504768</v>
      </c>
      <c r="BT131" s="93">
        <f t="shared" si="107"/>
        <v>64000000</v>
      </c>
      <c r="BU131" s="93">
        <f t="shared" si="107"/>
        <v>439603682</v>
      </c>
      <c r="BV131" s="93">
        <f t="shared" si="107"/>
        <v>163785326</v>
      </c>
      <c r="BW131" s="93">
        <f t="shared" si="107"/>
        <v>1428812633</v>
      </c>
      <c r="BX131" s="93">
        <f t="shared" si="107"/>
        <v>108350641</v>
      </c>
      <c r="BY131" s="93">
        <f t="shared" si="107"/>
        <v>698713775</v>
      </c>
      <c r="BZ131" s="93">
        <f t="shared" si="107"/>
        <v>491840424</v>
      </c>
      <c r="CA131" s="93">
        <f t="shared" si="107"/>
        <v>1037738159</v>
      </c>
      <c r="CB131" s="93">
        <f t="shared" si="107"/>
        <v>29277923</v>
      </c>
      <c r="CC131" s="93">
        <f t="shared" si="107"/>
        <v>47633503</v>
      </c>
      <c r="CD131" s="93">
        <f t="shared" si="107"/>
        <v>610624735</v>
      </c>
      <c r="CE131" s="27">
        <f>CF131/G131</f>
        <v>0.45337613028400892</v>
      </c>
      <c r="CF131" s="93">
        <f>CF24+CF50+CF77+CF97+CF129</f>
        <v>16585761443</v>
      </c>
      <c r="CG131" s="93">
        <f>CG24+CG50+CG77+CG97+CG129</f>
        <v>621958094</v>
      </c>
      <c r="CH131" s="93">
        <f>CH24+CH50+CH77+CH97+CH129</f>
        <v>2348222669</v>
      </c>
      <c r="CI131" s="93">
        <f>CI24+CI50+CI77+CI97+CJ129</f>
        <v>0</v>
      </c>
      <c r="CJ131" s="93">
        <f>CJ24+CJ50+CJ77+CJ97+CK129</f>
        <v>3643156231</v>
      </c>
      <c r="CK131" s="93">
        <f t="shared" ref="CK131:DC131" si="108">CK24+CK50+CK77+CK97+CK129</f>
        <v>3643156231</v>
      </c>
      <c r="CL131" s="93">
        <f t="shared" si="108"/>
        <v>79716667</v>
      </c>
      <c r="CM131" s="93">
        <f t="shared" si="108"/>
        <v>265157791</v>
      </c>
      <c r="CN131" s="93">
        <f t="shared" si="108"/>
        <v>864196600</v>
      </c>
      <c r="CO131" s="93">
        <f t="shared" si="108"/>
        <v>290444638</v>
      </c>
      <c r="CP131" s="93">
        <f t="shared" si="108"/>
        <v>189612791</v>
      </c>
      <c r="CQ131" s="93">
        <f t="shared" si="108"/>
        <v>74302196</v>
      </c>
      <c r="CR131" s="93">
        <f t="shared" si="108"/>
        <v>446784786</v>
      </c>
      <c r="CS131" s="93">
        <f t="shared" si="108"/>
        <v>0</v>
      </c>
      <c r="CT131" s="93">
        <f t="shared" si="108"/>
        <v>0</v>
      </c>
      <c r="CU131" s="93">
        <f t="shared" si="108"/>
        <v>0</v>
      </c>
      <c r="CV131" s="93">
        <f t="shared" si="108"/>
        <v>2833477327</v>
      </c>
      <c r="CW131" s="93">
        <f t="shared" si="108"/>
        <v>920497331</v>
      </c>
      <c r="CX131" s="93">
        <f t="shared" si="108"/>
        <v>1515683971</v>
      </c>
      <c r="CY131" s="93">
        <f t="shared" si="108"/>
        <v>684444407</v>
      </c>
      <c r="CZ131" s="93">
        <f t="shared" si="108"/>
        <v>509944628</v>
      </c>
      <c r="DA131" s="93">
        <f t="shared" si="108"/>
        <v>162631546</v>
      </c>
      <c r="DB131" s="93">
        <f t="shared" si="108"/>
        <v>56673333</v>
      </c>
      <c r="DC131" s="93">
        <f t="shared" si="108"/>
        <v>1078856437</v>
      </c>
      <c r="DD131" s="27">
        <f>1-CE131</f>
        <v>0.54662386971599108</v>
      </c>
      <c r="DE131" s="93">
        <f t="shared" ref="DE131:EB131" si="109">DE24+DE50+DE77+DE97+DE129</f>
        <v>19997023435</v>
      </c>
      <c r="DF131" s="93">
        <f t="shared" si="109"/>
        <v>674181193</v>
      </c>
      <c r="DG131" s="93">
        <f t="shared" si="109"/>
        <v>722147890</v>
      </c>
      <c r="DH131" s="93">
        <f t="shared" si="109"/>
        <v>29883260</v>
      </c>
      <c r="DI131" s="93">
        <f t="shared" si="109"/>
        <v>376904086</v>
      </c>
      <c r="DJ131" s="93">
        <f t="shared" si="109"/>
        <v>6856843769</v>
      </c>
      <c r="DK131" s="93">
        <f t="shared" si="109"/>
        <v>80283333</v>
      </c>
      <c r="DL131" s="93">
        <f t="shared" si="109"/>
        <v>0</v>
      </c>
      <c r="DM131" s="93">
        <f t="shared" si="109"/>
        <v>1312528169</v>
      </c>
      <c r="DN131" s="93">
        <f t="shared" si="109"/>
        <v>225153495</v>
      </c>
      <c r="DO131" s="93">
        <f t="shared" si="109"/>
        <v>198089784</v>
      </c>
      <c r="DP131" s="93">
        <f t="shared" si="109"/>
        <v>315999214</v>
      </c>
      <c r="DQ131" s="93">
        <f t="shared" si="109"/>
        <v>399271233</v>
      </c>
      <c r="DR131" s="93">
        <f t="shared" si="109"/>
        <v>101231112</v>
      </c>
      <c r="DS131" s="93">
        <f t="shared" si="109"/>
        <v>459603682</v>
      </c>
      <c r="DT131" s="93">
        <f t="shared" si="109"/>
        <v>183785326</v>
      </c>
      <c r="DU131" s="93">
        <f t="shared" si="109"/>
        <v>2429525566</v>
      </c>
      <c r="DV131" s="93">
        <f t="shared" si="109"/>
        <v>274567964</v>
      </c>
      <c r="DW131" s="93">
        <f t="shared" si="109"/>
        <v>928899554</v>
      </c>
      <c r="DX131" s="93">
        <f t="shared" si="109"/>
        <v>825804747</v>
      </c>
      <c r="DY131" s="93">
        <f t="shared" si="109"/>
        <v>1318957537</v>
      </c>
      <c r="DZ131" s="93">
        <f t="shared" si="109"/>
        <v>157450020</v>
      </c>
      <c r="EA131" s="93">
        <f t="shared" si="109"/>
        <v>642073157</v>
      </c>
      <c r="EB131" s="93">
        <f t="shared" si="109"/>
        <v>1483839344</v>
      </c>
      <c r="ED131" s="31">
        <f>+G131</f>
        <v>36582784878</v>
      </c>
      <c r="EE131" s="31">
        <f t="shared" si="62"/>
        <v>36582784878</v>
      </c>
      <c r="EF131" s="31">
        <f t="shared" si="63"/>
        <v>36582784878</v>
      </c>
    </row>
    <row r="132" spans="1:136" ht="5.25" customHeight="1" x14ac:dyDescent="0.25">
      <c r="C132" s="98"/>
      <c r="D132" s="98"/>
      <c r="E132" s="99"/>
      <c r="F132" s="99"/>
      <c r="G132" s="100"/>
      <c r="H132" s="101"/>
      <c r="I132" s="101"/>
      <c r="J132" s="100"/>
      <c r="K132" s="102"/>
      <c r="L132" s="100"/>
      <c r="M132" s="100"/>
      <c r="N132" s="100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4"/>
      <c r="AH132" s="105"/>
      <c r="AI132" s="105"/>
      <c r="AJ132" s="105"/>
      <c r="AK132" s="105"/>
      <c r="AL132" s="105"/>
      <c r="AM132" s="105"/>
      <c r="AN132" s="105"/>
      <c r="AO132" s="105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4"/>
      <c r="BG132" s="105"/>
      <c r="BH132" s="105"/>
      <c r="BI132" s="105"/>
      <c r="BJ132" s="105"/>
      <c r="BK132" s="105"/>
      <c r="BL132" s="105"/>
      <c r="BM132" s="105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106"/>
      <c r="CB132" s="106"/>
      <c r="CC132" s="106"/>
      <c r="CD132" s="106"/>
      <c r="CE132" s="27"/>
      <c r="CF132" s="107"/>
      <c r="CG132" s="108"/>
      <c r="CH132" s="108"/>
      <c r="CI132" s="108"/>
      <c r="CJ132" s="108"/>
      <c r="CK132" s="108"/>
      <c r="CL132" s="108"/>
      <c r="CM132" s="103"/>
      <c r="CN132" s="103"/>
      <c r="CO132" s="103"/>
      <c r="CP132" s="103"/>
      <c r="CQ132" s="103"/>
      <c r="CR132" s="103"/>
      <c r="CS132" s="103"/>
      <c r="CT132" s="103"/>
      <c r="CU132" s="103"/>
      <c r="CV132" s="103"/>
      <c r="CW132" s="103"/>
      <c r="CX132" s="103"/>
      <c r="CY132" s="103"/>
      <c r="CZ132" s="103"/>
      <c r="DA132" s="103"/>
      <c r="DB132" s="103"/>
      <c r="DC132" s="103"/>
      <c r="DD132" s="27"/>
      <c r="DE132" s="109"/>
      <c r="DF132" s="105"/>
      <c r="DG132" s="105"/>
      <c r="DH132" s="105"/>
      <c r="DI132" s="105"/>
      <c r="DJ132" s="105"/>
      <c r="DK132" s="105"/>
      <c r="DL132" s="106"/>
      <c r="DM132" s="106"/>
      <c r="DN132" s="106"/>
      <c r="DO132" s="106"/>
      <c r="DP132" s="106"/>
      <c r="DQ132" s="106"/>
      <c r="DR132" s="106"/>
      <c r="DS132" s="106"/>
      <c r="DT132" s="106"/>
      <c r="DU132" s="106"/>
      <c r="DV132" s="106"/>
      <c r="DW132" s="106"/>
      <c r="DX132" s="106"/>
      <c r="DY132" s="106"/>
      <c r="DZ132" s="106"/>
      <c r="EA132" s="106"/>
      <c r="EB132" s="106"/>
      <c r="ED132" s="31"/>
      <c r="EE132" s="31"/>
      <c r="EF132" s="31"/>
    </row>
    <row r="133" spans="1:136" ht="16.5" customHeight="1" x14ac:dyDescent="0.25">
      <c r="C133" s="110"/>
      <c r="D133" s="111" t="s">
        <v>368</v>
      </c>
      <c r="E133" s="104">
        <v>111</v>
      </c>
      <c r="F133" s="112"/>
      <c r="G133" s="113">
        <f ca="1">SUMIF($E$6:$G$129,"111",$G$6:$J$128)</f>
        <v>12891038393</v>
      </c>
      <c r="H133" s="114">
        <f ca="1">SUMIF($E$6:$H$129,"111",$H$6:$J$128)</f>
        <v>12050040000</v>
      </c>
      <c r="I133" s="114">
        <f ca="1">SUMIF($E$6:$I$129,"111",$I$6:$J$128)</f>
        <v>-840998393</v>
      </c>
      <c r="J133" s="113">
        <f>SUMIF($E$6:$E$129,"111",$J$6:$J$129)</f>
        <v>300000000</v>
      </c>
      <c r="K133" s="113">
        <f>SUMIF($E$6:$E$129,"111",$K$6:$K$129)</f>
        <v>0</v>
      </c>
      <c r="L133" s="113">
        <f>SUMIF($E$6:$E$129,"111",$L$6:$L$129)</f>
        <v>0</v>
      </c>
      <c r="M133" s="113">
        <f>SUMIF($E$6:$E$129,"111",$M$6:$M$129)</f>
        <v>0</v>
      </c>
      <c r="N133" s="115">
        <f>SUMIF($E$6:$E$128,"111",$N$6:$N$128)</f>
        <v>10500000000</v>
      </c>
      <c r="O133" s="112">
        <f>SUMIF($E$6:$E$129,"111",$O$6:$O$129)</f>
        <v>0</v>
      </c>
      <c r="P133" s="112">
        <f>SUMIF($E$6:$E$128,"111",$P$6:$P$128)</f>
        <v>0</v>
      </c>
      <c r="Q133" s="112">
        <f>SUMIF($E$6:$E$128,"111",$Q$6:$Q$128)</f>
        <v>97495947</v>
      </c>
      <c r="R133" s="112">
        <f>SUMIF($E$6:$E$128,"111",$R$6:$R$128)</f>
        <v>76360820</v>
      </c>
      <c r="S133" s="112">
        <f>SUMIF($E$6:$E$128,"111",$S$6:$S$128)</f>
        <v>21825814</v>
      </c>
      <c r="T133" s="112">
        <f>SUMIF($E$6:$E$128,"111",$T$6:$T$128)</f>
        <v>160166669</v>
      </c>
      <c r="U133" s="112">
        <f>SUMIF($E$6:$E$128,"111",$U$6:$U$128)</f>
        <v>0</v>
      </c>
      <c r="V133" s="112">
        <f>SUMIF($E$6:$E$128,"111",$V$6:$V$128)</f>
        <v>64000000</v>
      </c>
      <c r="W133" s="112">
        <f>SUMIF($E$6:$E$128,"111",$W$6:$W$128)</f>
        <v>459603682</v>
      </c>
      <c r="X133" s="112">
        <f>SUMIF($E$6:$E$128,"111",$X$6:$X$128)</f>
        <v>183785326</v>
      </c>
      <c r="Y133" s="112">
        <f>SUMIF($E$6:$E$128,"111",$Y$6:$Y$128)</f>
        <v>0</v>
      </c>
      <c r="Z133" s="112">
        <f>SUMIF($E$6:$E$128,"111",$Z$6:$Z$128)</f>
        <v>0</v>
      </c>
      <c r="AA133" s="112">
        <f>SUMIF($E$6:$E$128,"111",$AA$6:$AA$128)</f>
        <v>459305098</v>
      </c>
      <c r="AB133" s="112">
        <f>SUMIF($E$6:$E$128,"111",$AB$6:$AB$128)</f>
        <v>353648399</v>
      </c>
      <c r="AC133" s="112">
        <f>SUMIF($E$6:$E$128,"111",$AC$6:$AC$128)</f>
        <v>0</v>
      </c>
      <c r="AD133" s="112">
        <f>SUMIF($E$6:$E$128,"111",$AC$6:$AC$128)</f>
        <v>0</v>
      </c>
      <c r="AE133" s="112">
        <f>SUMIF($E$6:$E$128,"111",$AE$6:$AE$128)</f>
        <v>123846638</v>
      </c>
      <c r="AF133" s="112">
        <f>SUMIF($E$6:$E$128,"111",$AF$6:$AF$128)</f>
        <v>91000000</v>
      </c>
      <c r="AG133" s="27">
        <f t="shared" ref="AG133:AG140" ca="1" si="110">AH133/G133</f>
        <v>0.32901694515960161</v>
      </c>
      <c r="AH133" s="115">
        <f>SUMIF($E$6:$E$128,"111",$AH$6:$AH$128)</f>
        <v>4241370072</v>
      </c>
      <c r="AI133" s="115">
        <f>SUMIF($E$6:$E$128,"111",$AI$6:$AI$128)</f>
        <v>255145313</v>
      </c>
      <c r="AJ133" s="115">
        <f>SUMIF($E$6:$E$128,"111",$AJ$6:$AJ$128)</f>
        <v>0</v>
      </c>
      <c r="AK133" s="115">
        <f>SUMIF($E$6:$E$128,"111",$AK$6:$AK$128)</f>
        <v>0</v>
      </c>
      <c r="AL133" s="115">
        <f>SUMIF($E$6:$E$128,"111",$AL$6:$AL$128)</f>
        <v>0</v>
      </c>
      <c r="AM133" s="115">
        <f>SUMIF($E$6:$E$128,"111",$AM$6:$AM$128)</f>
        <v>3644933044</v>
      </c>
      <c r="AN133" s="115">
        <f>SUMIF($E$6:$E$128,"111",$AN$6:$AN$128)</f>
        <v>0</v>
      </c>
      <c r="AO133" s="115">
        <f>SUMIF($E$6:$E$128,"111",$AO$6:$AO$128)</f>
        <v>0</v>
      </c>
      <c r="AP133" s="115">
        <f>SUMIF($E$6:$E$128,"111",$AP$6:$AP$128)</f>
        <v>90945077</v>
      </c>
      <c r="AQ133" s="115">
        <f>SUMIF($E$6:$E$128,"111",$AQ$6:$AQ$128)</f>
        <v>20000000</v>
      </c>
      <c r="AR133" s="115">
        <f>SUMIF($E$6:$E$128,"111",$AR$6:$AR$128)</f>
        <v>0</v>
      </c>
      <c r="AS133" s="115">
        <f>SUMIF($E$6:$E$128,"111",$AS$6:$AS$128)</f>
        <v>0</v>
      </c>
      <c r="AT133" s="115">
        <f>SUMIF($E$6:$E$128,"111",$AT$6:$AT$128)</f>
        <v>0</v>
      </c>
      <c r="AU133" s="115">
        <f>SUMIF($E$6:$E$128,"111",$AU$6:$AU$128)</f>
        <v>0</v>
      </c>
      <c r="AV133" s="115">
        <f>SUMIF($E$6:$E$128,"111",$AV$6:$AV$128)</f>
        <v>20000000</v>
      </c>
      <c r="AW133" s="115">
        <f>SUMIF($E$6:$E$128,"111",$AW$6:$AW$128)</f>
        <v>20000000</v>
      </c>
      <c r="AX133" s="115">
        <f>SUMIF($E$6:$E$128,"111",$AX$6:$AX$128)</f>
        <v>0</v>
      </c>
      <c r="AY133" s="115">
        <f>SUMIF($E$6:$E$128,"111",$AY$6:$AY$128)</f>
        <v>0</v>
      </c>
      <c r="AZ133" s="115">
        <f>SUMIF($E$6:$E$128,"111",$AZ$6:$AZ$128)</f>
        <v>7500000</v>
      </c>
      <c r="BA133" s="115">
        <f>SUMIF($E$6:$E$128,"111",$BA$6:$BA$128)</f>
        <v>0</v>
      </c>
      <c r="BB133" s="115">
        <f>SUMIF($E$6:$E$128,"111",$BB$6:$BB$128)</f>
        <v>0</v>
      </c>
      <c r="BC133" s="115">
        <f>SUMIF($E$6:$E$128,"111",$BC$6:$BC$128)</f>
        <v>0</v>
      </c>
      <c r="BD133" s="115">
        <f>SUMIF($E$6:$E$128,"111",$BD$6:$BD$128)</f>
        <v>123846638</v>
      </c>
      <c r="BE133" s="115">
        <f>SUMIF($E$6:$E$128,"111",$BE$6:$BE$128)</f>
        <v>59000000</v>
      </c>
      <c r="BF133" s="97">
        <f t="shared" ref="BF133:BF140" ca="1" si="111">1-AG133</f>
        <v>0.67098305484039833</v>
      </c>
      <c r="BG133" s="30">
        <f t="shared" ref="BG133:BG139" si="112">SUM(BH133:CD133)</f>
        <v>8649668321</v>
      </c>
      <c r="BH133" s="116">
        <f>SUMIF($E$6:$E$128,"111",$BH$6:$BH$128)</f>
        <v>44854687</v>
      </c>
      <c r="BI133" s="116">
        <f>SUMIF($E$6:$E$128,"111",$BI$6:$BI$128)</f>
        <v>0</v>
      </c>
      <c r="BJ133" s="116">
        <f>SUMIF($E$6:$E$128,"111",$BJ$6:$BJ$128)</f>
        <v>0</v>
      </c>
      <c r="BK133" s="116">
        <f>SUMIF($E$6:$E$128,"111",$BK$6:$BK$128)</f>
        <v>0</v>
      </c>
      <c r="BL133" s="116">
        <f>SUMIF($E$6:$E$128,"111",$BL$6:$BL$128)</f>
        <v>6855066956</v>
      </c>
      <c r="BM133" s="116">
        <f>SUMIF($E$6:$E$128,"111",$BM$6:$BM$128)</f>
        <v>0</v>
      </c>
      <c r="BN133" s="116">
        <f>SUMIF($E$6:$E$128,"111",$BN$6:$BN$128)</f>
        <v>0</v>
      </c>
      <c r="BO133" s="116">
        <f>SUMIF($E$6:$E$128,"111",$BO$6:$BO$128)</f>
        <v>6550870</v>
      </c>
      <c r="BP133" s="116">
        <f>SUMIF($E$6:$E$128,"111",$BP$6:$BP$128)</f>
        <v>56360820</v>
      </c>
      <c r="BQ133" s="116">
        <f>SUMIF($E$6:$E$128,"111",$BQ$6:$BQ$128)</f>
        <v>21825814</v>
      </c>
      <c r="BR133" s="116">
        <f>SUMIF($E$6:$E$128,"111",$BR$6:$BR$128)</f>
        <v>160166669</v>
      </c>
      <c r="BS133" s="116">
        <f>SUMIF($E$6:$E$128,"111",$BS$6:$BS$128)</f>
        <v>0</v>
      </c>
      <c r="BT133" s="116">
        <f>SUMIF($E$6:$E$128,"111",$BT$6:$BT$128)</f>
        <v>64000000</v>
      </c>
      <c r="BU133" s="116">
        <f>SUMIF($E$6:$E$128,"111",$BU$6:$BU$128)</f>
        <v>439603682</v>
      </c>
      <c r="BV133" s="116">
        <f>SUMIF($E$6:$E$128,"111",$BV$6:$BV$128)</f>
        <v>163785326</v>
      </c>
      <c r="BW133" s="116">
        <f>SUMIF($E$6:$E$128,"111",$BW$6:$BW$128)</f>
        <v>0</v>
      </c>
      <c r="BX133" s="116">
        <f>SUMIF($E$6:$E$128,"111",$BX$6:$BX$128)</f>
        <v>0</v>
      </c>
      <c r="BY133" s="116">
        <f>SUMIF($E$6:$E$128,"111",$BY$6:$BY$128)</f>
        <v>451805098</v>
      </c>
      <c r="BZ133" s="116">
        <f>SUMIF($E$6:$E$128,"111",$BZ$6:$BZ$128)</f>
        <v>353648399</v>
      </c>
      <c r="CA133" s="116">
        <f>SUMIF($E$6:$E$128,"111",$CA$6:$CA$128)</f>
        <v>0</v>
      </c>
      <c r="CB133" s="116">
        <f>SUMIF($E$6:$E$128,"111",$CB$6:$CB$128)</f>
        <v>0</v>
      </c>
      <c r="CC133" s="116">
        <f>SUMIF($E$6:$E$128,"111",$CC$6:$CC$128)</f>
        <v>0</v>
      </c>
      <c r="CD133" s="117">
        <f>SUMIF($E$6:$E$128,"111",$CD$6:$CD$128)</f>
        <v>32000000</v>
      </c>
      <c r="CE133" s="27">
        <f t="shared" ref="CE133:CE140" ca="1" si="113">CF133/G133</f>
        <v>0.31004646221287535</v>
      </c>
      <c r="CF133" s="47">
        <f t="shared" ref="CF133:CF139" si="114">SUM(CG133:DC133)</f>
        <v>3996820848</v>
      </c>
      <c r="CG133" s="115">
        <f>SUMIF($E$6:$E$128,"111",$CG$6:$CG$128)</f>
        <v>255145313</v>
      </c>
      <c r="CH133" s="115">
        <f>SUMIF($E$6:$E$128,"111",$CH$6:$CH$128)</f>
        <v>0</v>
      </c>
      <c r="CI133" s="115">
        <f>SUMIF($E$6:$E$128,"111",$CI$6:$CI$128)</f>
        <v>0</v>
      </c>
      <c r="CJ133" s="115">
        <f>SUMIF($E$6:$E$128,"111",$CJ$6:$CJ$128)</f>
        <v>0</v>
      </c>
      <c r="CK133" s="115">
        <f>SUMIF($E$6:$E$128,"111",$CK$6:$CK$128)</f>
        <v>3643156231</v>
      </c>
      <c r="CL133" s="115">
        <f>SUMIF($E$6:$E$128,"111",$CL$6:$CL$128)</f>
        <v>0</v>
      </c>
      <c r="CM133" s="115">
        <f>SUMIF($E$6:$E$128,"111",$CM$6:$CM$128)</f>
        <v>0</v>
      </c>
      <c r="CN133" s="115">
        <f>SUMIF($E$6:$E$128,"111",$CN$6:$CN$128)</f>
        <v>90937029</v>
      </c>
      <c r="CO133" s="115">
        <f>SUMIF($E$6:$E$128,"111",$CO$6:$CO$128)</f>
        <v>0</v>
      </c>
      <c r="CP133" s="115">
        <f>SUMIF($E$6:$E$128,"111",$CP$6:$CP$128)</f>
        <v>0</v>
      </c>
      <c r="CQ133" s="115">
        <f>SUMIF($E$6:$E$128,"111",$CQ$6:$CQ$128)</f>
        <v>0</v>
      </c>
      <c r="CR133" s="115">
        <f>SUMIF($E$6:$E$128,"111",$CR$6:$CR$128)</f>
        <v>0</v>
      </c>
      <c r="CS133" s="115">
        <f>SUMIF($E$6:$E$128,"111",$CS$6:$CS$128)</f>
        <v>0</v>
      </c>
      <c r="CT133" s="115">
        <f>SUMIF($E$6:$E$128,"111",$CT$6:$CT$128)</f>
        <v>0</v>
      </c>
      <c r="CU133" s="115">
        <f>SUMIF($E$6:$E$128,"111",$CU$6:$CU$128)</f>
        <v>0</v>
      </c>
      <c r="CV133" s="115">
        <f>SUMIF($E$6:$E$128,"111",$CV$6:$CV$128)</f>
        <v>0</v>
      </c>
      <c r="CW133" s="115">
        <f>SUMIF($E$6:$E$128,"111",$CW$6:$CW$128)</f>
        <v>0</v>
      </c>
      <c r="CX133" s="115">
        <f>SUMIF($E$6:$E$128,"111",$CX$6:$CX$128)</f>
        <v>0</v>
      </c>
      <c r="CY133" s="115">
        <f>SUMIF($E$6:$E$128,"111",$CY$6:$CY$128)</f>
        <v>0</v>
      </c>
      <c r="CZ133" s="115">
        <f>SUMIF($E$6:$E$128,"111",$CZ$6:$CZ$128)</f>
        <v>0</v>
      </c>
      <c r="DA133" s="115">
        <f>SUMIF($E$6:$E$128,"111",$DA$6:$DA$128)</f>
        <v>0</v>
      </c>
      <c r="DB133" s="115">
        <f>SUMIF($E$6:$E$128,"111",$DB$6:$DB$128)</f>
        <v>0</v>
      </c>
      <c r="DC133" s="118">
        <f>SUMIF($E$6:$E$128,"111",$DC$6:$DC$128)</f>
        <v>7582275</v>
      </c>
      <c r="DD133" s="27">
        <f t="shared" ref="DD133:DD140" ca="1" si="115">1-CE133</f>
        <v>0.68995353778712465</v>
      </c>
      <c r="DE133" s="30">
        <f t="shared" ref="DE133:DE139" si="116">SUM(DF133:EB133)</f>
        <v>8894217545</v>
      </c>
      <c r="DF133" s="116">
        <f>SUMIF($E$6:$E$128,"111",$DF$6:$DF$128)</f>
        <v>44854687</v>
      </c>
      <c r="DG133" s="116">
        <f>SUMIF($E$6:$E$128,"111",$DG$6:$DG$128)</f>
        <v>0</v>
      </c>
      <c r="DH133" s="116">
        <f>SUMIF($E$6:$E$128,"111",$DH$6:$DH$128)</f>
        <v>0</v>
      </c>
      <c r="DI133" s="116">
        <f>SUMIF($E$6:$E$128,"111",$DI$6:$DI$128)</f>
        <v>0</v>
      </c>
      <c r="DJ133" s="116">
        <f>SUMIF($E$6:$E$128,"111",$DJ$6:$DJ$128)</f>
        <v>6856843769</v>
      </c>
      <c r="DK133" s="116">
        <f>SUMIF($E$6:$E$128,"111",$DK$6:$DK$128)</f>
        <v>0</v>
      </c>
      <c r="DL133" s="116">
        <f>SUMIF($E$6:$E$128,"111",$DL$6:$DL$128)</f>
        <v>0</v>
      </c>
      <c r="DM133" s="116">
        <f>SUMIF($E$6:$E$128,"111",$DM$6:$DM$128)</f>
        <v>6558918</v>
      </c>
      <c r="DN133" s="116">
        <f>SUMIF($E$6:$E$128,"111",$DN$6:$DN$128)</f>
        <v>76360820</v>
      </c>
      <c r="DO133" s="116">
        <f>SUMIF($E$6:$E$128,"111",$DO$6:$DO$128)</f>
        <v>21825814</v>
      </c>
      <c r="DP133" s="116">
        <f>SUMIF($E$6:$E$128,"111",$DP$6:$DP$128)</f>
        <v>160166669</v>
      </c>
      <c r="DQ133" s="119">
        <f>SUMIF($E$6:$E$128,"111",$DQ$6:$DQ$128)</f>
        <v>0</v>
      </c>
      <c r="DR133" s="119">
        <f>SUMIF($E$6:$E$128,"111",$DR$6:$DR$128)</f>
        <v>64000000</v>
      </c>
      <c r="DS133" s="119">
        <f>SUMIF($E$6:$E$128,"111",$DS$6:$DS$128)</f>
        <v>459603682</v>
      </c>
      <c r="DT133" s="119">
        <f>SUMIF($E$6:$E$128,"111",$DT$6:$DT$128)</f>
        <v>183785326</v>
      </c>
      <c r="DU133" s="119">
        <f>SUMIF($E$6:$E$128,"111",$DU$6:$DU$128)</f>
        <v>0</v>
      </c>
      <c r="DV133" s="119">
        <f>SUMIF($E$6:$E$128,"111",$DV$6:$DV$128)</f>
        <v>0</v>
      </c>
      <c r="DW133" s="119">
        <f>SUMIF($E$6:$E$128,"111",$DW$6:$DW$128)</f>
        <v>459305098</v>
      </c>
      <c r="DX133" s="119">
        <f>SUMIF($E$6:$E$128,"111",$DX$6:$DX$128)</f>
        <v>353648399</v>
      </c>
      <c r="DY133" s="119">
        <f>SUMIF($E$6:$E$128,"111",$DY$6:$DY$128)</f>
        <v>0</v>
      </c>
      <c r="DZ133" s="119">
        <f>SUMIF($E$6:$E$128,"111",$DZ$6:$DZ$128)</f>
        <v>0</v>
      </c>
      <c r="EA133" s="119">
        <f>SUMIF($E$6:$E$128,"111",$EA$6:$EA$128)</f>
        <v>123846638</v>
      </c>
      <c r="EB133" s="119">
        <f>SUMIF($E$6:$E$128,"111",$EB$6:$EB$128)</f>
        <v>83417725</v>
      </c>
      <c r="ED133" s="31">
        <f t="shared" ref="ED133:ED140" ca="1" si="117">+G133</f>
        <v>12891038393</v>
      </c>
      <c r="EE133" s="31">
        <f t="shared" si="62"/>
        <v>12891038393</v>
      </c>
      <c r="EF133" s="31">
        <f t="shared" si="63"/>
        <v>12891038393</v>
      </c>
    </row>
    <row r="134" spans="1:136" ht="18" customHeight="1" x14ac:dyDescent="0.25">
      <c r="C134" s="120"/>
      <c r="D134" s="111" t="s">
        <v>369</v>
      </c>
      <c r="E134" s="104">
        <v>211</v>
      </c>
      <c r="F134" s="112"/>
      <c r="G134" s="113">
        <f ca="1">SUMIF($E$6:$G$129,"211",$G$6:$J$128)</f>
        <v>4803099363</v>
      </c>
      <c r="H134" s="114">
        <f ca="1">SUMIF($E$6:$H$129,"211",$H$6:$J$128)</f>
        <v>8602000000</v>
      </c>
      <c r="I134" s="114">
        <f ca="1">SUMIF($E$6:$I$129,"211",$I$6:$J$128)</f>
        <v>3798900637</v>
      </c>
      <c r="J134" s="113">
        <f>SUMIF($E$6:$E$129,"211",$J$6:$J$129)</f>
        <v>499415867</v>
      </c>
      <c r="K134" s="113">
        <f>SUMIF($E$6:$E$129,"211",$K$6:$K$129)</f>
        <v>568000000</v>
      </c>
      <c r="L134" s="113">
        <f>SUMIF($E$6:$E$129,"211",$L$6:$L$129)</f>
        <v>0</v>
      </c>
      <c r="M134" s="113">
        <f>SUMIF($E$6:$E$129,"211",$M$6:$M$129)</f>
        <v>60360507</v>
      </c>
      <c r="N134" s="115">
        <f>SUMIF($E$6:$E$128,"211",$N$6:$N$128)</f>
        <v>0</v>
      </c>
      <c r="O134" s="112">
        <f>SUMIF($E$6:$E$128,"211",$O$6:$O$128)</f>
        <v>80000000</v>
      </c>
      <c r="P134" s="112">
        <f>SUMIF($E$6:$E$128,"211",$P$6:$P$128)</f>
        <v>265157791</v>
      </c>
      <c r="Q134" s="112">
        <f>SUMIF($E$6:$E$128,"211",$Q$6:$Q$128)</f>
        <v>102475494</v>
      </c>
      <c r="R134" s="112">
        <f>SUMIF($E$6:$E$128,"211",$R$6:$R$128)</f>
        <v>349237313</v>
      </c>
      <c r="S134" s="112">
        <f>SUMIF($E$6:$E$128,"211",$S$6:$S$128)</f>
        <v>249876761</v>
      </c>
      <c r="T134" s="112">
        <f>SUMIF($E$6:$E$128,"211",$T$6:$T$128)</f>
        <v>110000000</v>
      </c>
      <c r="U134" s="112">
        <f>SUMIF($E$6:$E$128,"211",$U$6:$U$128)</f>
        <v>363200802</v>
      </c>
      <c r="V134" s="112">
        <f>SUMIF($E$6:$E$128,"211",$V$6:$V$128)</f>
        <v>37231112</v>
      </c>
      <c r="W134" s="112">
        <f>SUMIF($E$6:$E$128,"211",$W$6:$W$128)</f>
        <v>0</v>
      </c>
      <c r="X134" s="112">
        <f>SUMIF($E$6:$E$128,"211",$X$6:$X$128)</f>
        <v>0</v>
      </c>
      <c r="Y134" s="112">
        <f>SUMIF($E$6:$E$128,"211",$Y$6:$Y$128)</f>
        <v>113002893</v>
      </c>
      <c r="Z134" s="112">
        <f>SUMIF($E$6:$E$128,"211",$Z$6:$Z$128)</f>
        <v>0</v>
      </c>
      <c r="AA134" s="112">
        <f>SUMIF($E$6:$E$128,"211",$AA$6:$AA$128)</f>
        <v>1072228899</v>
      </c>
      <c r="AB134" s="112">
        <f>SUMIF($E$6:$E$128,"211",$AB$6:$AB$128)</f>
        <v>100000000</v>
      </c>
      <c r="AC134" s="112">
        <f>SUMIF($E$6:$E$128,"211",$AC$6:$AC$128)</f>
        <v>0</v>
      </c>
      <c r="AD134" s="112"/>
      <c r="AE134" s="112">
        <f>SUMIF($E$6:$E$128,"211",$AE$6:$AE$128)</f>
        <v>74766349</v>
      </c>
      <c r="AF134" s="112">
        <f>SUMIF($E$6:$E$128,"211",$AF$6:$AF$128)</f>
        <v>758145575</v>
      </c>
      <c r="AG134" s="27">
        <f t="shared" ca="1" si="110"/>
        <v>0.78511796363185082</v>
      </c>
      <c r="AH134" s="115">
        <f>SUMIF($E$6:$E$128,"211",$AH$6:$AH$128)</f>
        <v>3770999591</v>
      </c>
      <c r="AI134" s="115">
        <f>SUMIF($E$6:$E$128,"211",$AI$6:$AI$128)</f>
        <v>448700253</v>
      </c>
      <c r="AJ134" s="115">
        <f>SUMIF($E$6:$E$128,"211",$AJ$6:$AJ$128)</f>
        <v>555677181</v>
      </c>
      <c r="AK134" s="115">
        <f>SUMIF($E$6:$E$128,"211",$AK$6:$AK$128)</f>
        <v>0</v>
      </c>
      <c r="AL134" s="115">
        <f>SUMIF($E$6:$E$128,"211",$AL$6:$AL$128)</f>
        <v>0</v>
      </c>
      <c r="AM134" s="115">
        <f>SUMIF($E$6:$E$128,"211",$AM$6:$AM$128)</f>
        <v>0</v>
      </c>
      <c r="AN134" s="115">
        <f>SUMIF($E$6:$E$128,"211",$AN$6:$AN$128)</f>
        <v>0</v>
      </c>
      <c r="AO134" s="115">
        <f>SUMIF($E$6:$E$128,"211",$AO$6:$AO$128)</f>
        <v>265157791</v>
      </c>
      <c r="AP134" s="115">
        <f>SUMIF($E$6:$E$128,"211",$AP$6:$AP$128)</f>
        <v>65605202</v>
      </c>
      <c r="AQ134" s="115">
        <f>SUMIF($E$6:$E$128,"211",$AQ$6:$AQ$128)</f>
        <v>291999999</v>
      </c>
      <c r="AR134" s="115">
        <f>SUMIF($E$6:$E$128,"211",$AR$6:$AR$128)</f>
        <v>180103239</v>
      </c>
      <c r="AS134" s="115">
        <f>SUMIF($E$6:$E$128,"211",$AS$6:$AS$128)</f>
        <v>70000000</v>
      </c>
      <c r="AT134" s="115">
        <f>SUMIF($E$6:$E$128,"211",$AT$6:$AT$128)</f>
        <v>63000000</v>
      </c>
      <c r="AU134" s="115">
        <f>SUMIF($E$6:$E$128,"211",$AU$6:$AU$128)</f>
        <v>37231112</v>
      </c>
      <c r="AV134" s="115">
        <f>SUMIF($E$6:$E$128,"211",$AV$6:$AV$128)</f>
        <v>0</v>
      </c>
      <c r="AW134" s="115">
        <f>SUMIF($E$6:$E$128,"211",$AW$6:$AW$128)</f>
        <v>0</v>
      </c>
      <c r="AX134" s="115">
        <f>SUMIF($E$6:$E$128,"211",$AX$6:$AX$128)</f>
        <v>113002893</v>
      </c>
      <c r="AY134" s="115">
        <f>SUMIF($E$6:$E$128,"211",$AY$6:$AY$128)</f>
        <v>0</v>
      </c>
      <c r="AZ134" s="115">
        <f>SUMIF($E$6:$E$128,"211",$AZ$6:$AZ$128)</f>
        <v>942924524</v>
      </c>
      <c r="BA134" s="115">
        <f>SUMIF($E$6:$E$128,"211",$BA$6:$BA$128)</f>
        <v>85976539</v>
      </c>
      <c r="BB134" s="115">
        <f>SUMIF($E$6:$E$128,"211",$BB$6:$BB$128)</f>
        <v>0</v>
      </c>
      <c r="BC134" s="115">
        <f>SUMIF($E$6:$E$128,"211",$BC$6:$BC$128)</f>
        <v>0</v>
      </c>
      <c r="BD134" s="115">
        <f>SUMIF($E$6:$E$128,"211",$BD$6:$BD$128)</f>
        <v>74766349</v>
      </c>
      <c r="BE134" s="115">
        <f>SUMIF($E$6:$E$128,"211",$BE$6:$BE$128)</f>
        <v>576854509</v>
      </c>
      <c r="BF134" s="97">
        <f t="shared" ca="1" si="111"/>
        <v>0.21488203636814918</v>
      </c>
      <c r="BG134" s="30">
        <f t="shared" si="112"/>
        <v>1032099772</v>
      </c>
      <c r="BH134" s="116">
        <f>SUMIF($E$6:$E$128,"211",$BH$6:$BH$128)</f>
        <v>50715614</v>
      </c>
      <c r="BI134" s="116">
        <f>SUMIF($E$6:$E$128,"211",$BI$6:$BI$128)</f>
        <v>12322819</v>
      </c>
      <c r="BJ134" s="116">
        <f>SUMIF($E$6:$E$128,"211",$BJ$6:$BJ$128)</f>
        <v>0</v>
      </c>
      <c r="BK134" s="116">
        <f>SUMIF($E$6:$E$128,"211",$BK$6:$BK$128)</f>
        <v>60360507</v>
      </c>
      <c r="BL134" s="116">
        <f>SUMIF($E$6:$E$128,"211",$BL$6:$BL$128)</f>
        <v>0</v>
      </c>
      <c r="BM134" s="116">
        <f>SUMIF($E$6:$E$128,"211",$BM$6:$BM$128)</f>
        <v>80000000</v>
      </c>
      <c r="BN134" s="116">
        <f>SUMIF($E$6:$E$128,"211",$BN$6:$BN$128)</f>
        <v>0</v>
      </c>
      <c r="BO134" s="116">
        <f>SUMIF($E$6:$E$128,"211",$BO$6:$BO$128)</f>
        <v>36870292</v>
      </c>
      <c r="BP134" s="116">
        <f>SUMIF($E$6:$E$128,"211",$BP$6:$BP$128)</f>
        <v>57237314</v>
      </c>
      <c r="BQ134" s="116">
        <f>SUMIF($E$6:$E$128,"211",$BQ$6:$BQ$128)</f>
        <v>69773522</v>
      </c>
      <c r="BR134" s="116">
        <f>SUMIF($E$6:$E$128,"211",$BR$6:$BR$128)</f>
        <v>40000000</v>
      </c>
      <c r="BS134" s="116">
        <f>SUMIF($E$6:$E$128,"211",$BS$6:$BS$128)</f>
        <v>300200802</v>
      </c>
      <c r="BT134" s="116">
        <f>SUMIF($E$6:$E$128,"211",$BT$6:$BT$128)</f>
        <v>0</v>
      </c>
      <c r="BU134" s="116">
        <f>SUMIF($E$6:$E$128,"211",$BU$6:$BU$128)</f>
        <v>0</v>
      </c>
      <c r="BV134" s="116">
        <f>SUMIF($E$6:$E$128,"211",$BV$6:$BV$128)</f>
        <v>0</v>
      </c>
      <c r="BW134" s="116">
        <f>SUMIF($E$6:$E$128,"211",$BW$6:$BW$128)</f>
        <v>0</v>
      </c>
      <c r="BX134" s="116">
        <f>SUMIF($E$6:$E$128,"211",$BX$6:$BX$128)</f>
        <v>0</v>
      </c>
      <c r="BY134" s="116">
        <f>SUMIF($E$6:$E$128,"211",$BY$6:$BY$128)</f>
        <v>129304375</v>
      </c>
      <c r="BZ134" s="116">
        <f>SUMIF($E$6:$E$128,"211",$BZ$6:$BZ$128)</f>
        <v>14023461</v>
      </c>
      <c r="CA134" s="116">
        <f>SUMIF($E$6:$E$128,"211",$CA$6:$CA$128)</f>
        <v>0</v>
      </c>
      <c r="CB134" s="116">
        <f>SUMIF($E$6:$E$128,"211",$CB$6:$CB$128)</f>
        <v>0</v>
      </c>
      <c r="CC134" s="116">
        <f>SUMIF($E$6:$E$128,"211",$CC$6:$CC$128)</f>
        <v>0</v>
      </c>
      <c r="CD134" s="117">
        <f>SUMIF($E$6:$E$128,"211",$CD$6:$CD$128)</f>
        <v>181291066</v>
      </c>
      <c r="CE134" s="27">
        <f t="shared" ca="1" si="113"/>
        <v>0.61782209542850963</v>
      </c>
      <c r="CF134" s="47">
        <f t="shared" si="114"/>
        <v>2967460913</v>
      </c>
      <c r="CG134" s="115">
        <f>SUMIF($E$6:$E$128,"211",$CG$6:$CG$128)</f>
        <v>366812781</v>
      </c>
      <c r="CH134" s="115">
        <f>SUMIF($E$6:$E$128,"211",$CH$6:$CH$128)</f>
        <v>524880329</v>
      </c>
      <c r="CI134" s="115">
        <f>SUMIF($E$6:$E$128,"211",$CI$6:$CI$128)</f>
        <v>0</v>
      </c>
      <c r="CJ134" s="115">
        <f>SUMIF($E$6:$E$128,"211",$CJ$6:$CJ$128)</f>
        <v>0</v>
      </c>
      <c r="CK134" s="115">
        <f>SUMIF($E$6:$E$128,"211",$CK$6:$CK$128)</f>
        <v>0</v>
      </c>
      <c r="CL134" s="115">
        <f>SUMIF($E$6:$E$128,"211",$CL$6:$CL$128)</f>
        <v>0</v>
      </c>
      <c r="CM134" s="115">
        <f>SUMIF($E$6:$E$128,"211",$CM$6:$CM$128)</f>
        <v>265157791</v>
      </c>
      <c r="CN134" s="115">
        <f>SUMIF($E$6:$E$128,"211",$CN$6:$CN$128)</f>
        <v>0</v>
      </c>
      <c r="CO134" s="115">
        <f>SUMIF($E$6:$E$128,"211",$CO$6:$CO$128)</f>
        <v>280120178</v>
      </c>
      <c r="CP134" s="115">
        <f>SUMIF($E$6:$E$128,"211",$CP$6:$CP$128)</f>
        <v>177903931</v>
      </c>
      <c r="CQ134" s="115">
        <f>SUMIF($E$6:$E$128,"211",$CQ$6:$CQ$128)</f>
        <v>59002046</v>
      </c>
      <c r="CR134" s="115">
        <f>SUMIF($E$6:$E$128,"211",$CR$6:$CR$128)</f>
        <v>62934552</v>
      </c>
      <c r="CS134" s="115">
        <f>SUMIF($E$6:$E$128,"211",$CS$6:$CS$128)</f>
        <v>0</v>
      </c>
      <c r="CT134" s="115">
        <f>SUMIF($E$6:$E$128,"211",$CT$6:$CT$128)</f>
        <v>0</v>
      </c>
      <c r="CU134" s="115">
        <f>SUMIF($E$6:$E$128,"211",$CU$6:$CU$128)</f>
        <v>0</v>
      </c>
      <c r="CV134" s="115">
        <f>SUMIF($E$6:$E$128,"211",$CV$6:$CV$128)</f>
        <v>113002893</v>
      </c>
      <c r="CW134" s="115">
        <f>SUMIF($E$6:$E$128,"211",$CW$6:$CW$128)</f>
        <v>0</v>
      </c>
      <c r="CX134" s="115">
        <f>SUMIF($E$6:$E$128,"211",$CX$6:$CX$128)</f>
        <v>873359769</v>
      </c>
      <c r="CY134" s="115">
        <f>SUMIF($E$6:$E$128,"211",$CY$6:$CY$128)</f>
        <v>83906539</v>
      </c>
      <c r="CZ134" s="115">
        <f>SUMIF($E$6:$E$128,"211",$CZ$6:$CZ$128)</f>
        <v>0</v>
      </c>
      <c r="DA134" s="115">
        <f>SUMIF($E$6:$E$128,"211",$DA$6:$DA$128)</f>
        <v>0</v>
      </c>
      <c r="DB134" s="115">
        <f>SUMIF($E$6:$E$128,"211",$DB$6:$DB$128)</f>
        <v>0</v>
      </c>
      <c r="DC134" s="118">
        <f>SUMIF($E$6:$E$128,"211",$DC$6:$DC$128)</f>
        <v>160380104</v>
      </c>
      <c r="DD134" s="27">
        <f t="shared" ca="1" si="115"/>
        <v>0.38217790457149037</v>
      </c>
      <c r="DE134" s="30">
        <f t="shared" ca="1" si="116"/>
        <v>1835638450</v>
      </c>
      <c r="DF134" s="116">
        <f ca="1">SUMIF($E$6:$E$129,"211",$DF$6:$DF$128)</f>
        <v>132603086</v>
      </c>
      <c r="DG134" s="116">
        <f>SUMIF($E$6:$E$128,"211",$DG$6:$DG$128)</f>
        <v>43119671</v>
      </c>
      <c r="DH134" s="116">
        <f>SUMIF($E$6:$E$128,"211",$DH$6:$DH$128)</f>
        <v>0</v>
      </c>
      <c r="DI134" s="116">
        <f>SUMIF($E$6:$E$128,"211",$DI$6:$DI$128)</f>
        <v>60360507</v>
      </c>
      <c r="DJ134" s="116">
        <f>SUMIF($E$6:$E$128,"211",$DJ$6:$DJ$128)</f>
        <v>0</v>
      </c>
      <c r="DK134" s="116">
        <f>SUMIF($E$6:$E$128,"211",$DK$6:$DK$128)</f>
        <v>80000000</v>
      </c>
      <c r="DL134" s="116">
        <f>SUMIF($E$6:$E$128,"211",$DL$6:$DL$128)</f>
        <v>0</v>
      </c>
      <c r="DM134" s="116">
        <f>SUMIF($E$6:$E$128,"211",$DM$6:$DM$128)</f>
        <v>102475494</v>
      </c>
      <c r="DN134" s="116">
        <f>SUMIF($E$6:$E$128,"211",$DN$6:$DN$128)</f>
        <v>69117135</v>
      </c>
      <c r="DO134" s="116">
        <f>SUMIF($E$6:$E$128,"211",$DO$6:$DO$128)</f>
        <v>71972830</v>
      </c>
      <c r="DP134" s="119">
        <f>SUMIF($E$6:$E$128,"211",$DP$6:$DP$128)</f>
        <v>50997954</v>
      </c>
      <c r="DQ134" s="119">
        <f>SUMIF($E$6:$E$128,"211",$DQ$6:$DQ$128)</f>
        <v>300266250</v>
      </c>
      <c r="DR134" s="119">
        <f>SUMIF($E$6:$E$128,"211",$DR$6:$DR$128)</f>
        <v>37231112</v>
      </c>
      <c r="DS134" s="119">
        <f>SUMIF($E$6:$E$128,"211",$DS$6:$DS$128)</f>
        <v>0</v>
      </c>
      <c r="DT134" s="119">
        <f>SUMIF($E$6:$E$128,"211",$DT$6:$DT$128)</f>
        <v>0</v>
      </c>
      <c r="DU134" s="119">
        <f>SUMIF($E$6:$E$128,"211",$DU$6:$DU$128)</f>
        <v>0</v>
      </c>
      <c r="DV134" s="119">
        <f>SUMIF($E$6:$E$128,"211",$DV$6:$DV$128)</f>
        <v>0</v>
      </c>
      <c r="DW134" s="119">
        <f>SUMIF($E$6:$E$128,"211",$DW$6:$DW$128)</f>
        <v>198869130</v>
      </c>
      <c r="DX134" s="119">
        <f>SUMIF($E$6:$E$128,"211",$DX$6:$DX$128)</f>
        <v>16093461</v>
      </c>
      <c r="DY134" s="119">
        <f>SUMIF($E$6:$E$128,"211",$DY$6:$DY$128)</f>
        <v>0</v>
      </c>
      <c r="DZ134" s="119">
        <f>SUMIF($E$6:$E$128,"211",$DZ$6:$DZ$128)</f>
        <v>0</v>
      </c>
      <c r="EA134" s="119">
        <f>SUMIF($E$6:$E$128,"211",$EA$6:$EA$128)</f>
        <v>74766349</v>
      </c>
      <c r="EB134" s="119">
        <f>SUMIF($E$6:$E$128,"211",$EB$6:$EB$128)</f>
        <v>597765471</v>
      </c>
      <c r="ED134" s="31">
        <f t="shared" ca="1" si="117"/>
        <v>4803099363</v>
      </c>
      <c r="EE134" s="31">
        <f t="shared" si="62"/>
        <v>4803099363</v>
      </c>
      <c r="EF134" s="31">
        <f t="shared" ca="1" si="63"/>
        <v>4803099363</v>
      </c>
    </row>
    <row r="135" spans="1:136" ht="18" customHeight="1" x14ac:dyDescent="0.25">
      <c r="C135" s="120"/>
      <c r="D135" s="111" t="s">
        <v>236</v>
      </c>
      <c r="E135" s="121">
        <v>301</v>
      </c>
      <c r="F135" s="112"/>
      <c r="G135" s="113">
        <f ca="1">SUMIF($E$6:$G$129,"301",$G$6:$J$128)</f>
        <v>3893748088</v>
      </c>
      <c r="H135" s="114">
        <f ca="1">SUMIF($E$6:$H$129,"301",$H$6:$J$128)</f>
        <v>4682573500</v>
      </c>
      <c r="I135" s="114">
        <f ca="1">SUMIF($E$6:$I$129,"301",$I$6:$J$128)</f>
        <v>788825412</v>
      </c>
      <c r="J135" s="113">
        <f>SUMIF($E$6:$E$129,"301",$J$6:$J$129)</f>
        <v>496723420</v>
      </c>
      <c r="K135" s="113">
        <f>SUMIF($E$6:$E$129,"301",$K$6:$K$129)</f>
        <v>0</v>
      </c>
      <c r="L135" s="113">
        <f>SUMIF($E$6:$E$129,"301",$L$6:$L$129)</f>
        <v>29883260</v>
      </c>
      <c r="M135" s="113">
        <f>SUMIF($E$6:$E$129,"301",$M$6:$M$129)</f>
        <v>34553122</v>
      </c>
      <c r="N135" s="115">
        <f>SUMIF($E$6:$E$128,"301",$N$6:$N$128)</f>
        <v>0</v>
      </c>
      <c r="O135" s="112">
        <f>SUMIF($E$6:$E$128,"301",$O$6:$O$128)</f>
        <v>0</v>
      </c>
      <c r="P135" s="112">
        <f>SUMIF($E$6:$E$128,"301",$P$6:$P$128)</f>
        <v>0</v>
      </c>
      <c r="Q135" s="112">
        <f>SUMIF($E$6:$E$128,"301",$Q$6:$Q$128)</f>
        <v>0</v>
      </c>
      <c r="R135" s="112">
        <f>SUMIF($E$6:$E$128,"301",$R$6:$R$128)</f>
        <v>0</v>
      </c>
      <c r="S135" s="112">
        <f>SUMIF($E$6:$E$128,"301",$S$6:$S$128)</f>
        <v>0</v>
      </c>
      <c r="T135" s="112">
        <f>SUMIF($E$6:$E$128,"301",$T$6:$T$128)</f>
        <v>0</v>
      </c>
      <c r="U135" s="112">
        <f>SUMIF($E$6:$E$128,"301",$U$6:$U$128)</f>
        <v>0</v>
      </c>
      <c r="V135" s="112">
        <f>SUMIF($E$6:$E$128,"301",$V$6:$V$128)</f>
        <v>0</v>
      </c>
      <c r="W135" s="112">
        <f>SUMIF($E$6:$E$128,"301",$W$6:$W$128)</f>
        <v>0</v>
      </c>
      <c r="X135" s="112">
        <f>SUMIF($E$6:$E$128,"301",$X$6:$X$128)</f>
        <v>0</v>
      </c>
      <c r="Y135" s="112">
        <f>SUMIF($E$6:$E$128,"301",$Y$6:$Y$128)</f>
        <v>0</v>
      </c>
      <c r="Z135" s="112">
        <f>SUMIF($E$6:$E$128,"301",$Z$6:$Z$128)</f>
        <v>1195065295</v>
      </c>
      <c r="AA135" s="112">
        <f>SUMIF($E$6:$E$128,"301",$AA$6:$AA$128)</f>
        <v>186024097</v>
      </c>
      <c r="AB135" s="112">
        <f>SUMIF($E$6:$E$128,"301",$AB$6:$AB$128)</f>
        <v>13975903</v>
      </c>
      <c r="AC135" s="112">
        <f>SUMIF($E$6:$E$128,"301",$AC$6:$AC$128)</f>
        <v>1828902165</v>
      </c>
      <c r="AD135" s="112"/>
      <c r="AE135" s="112">
        <f>SUMIF($E$6:$E$128,"301",$AE$6:$AE$128)</f>
        <v>0</v>
      </c>
      <c r="AF135" s="112">
        <f>SUMIF($E$6:$E$128,"301",$AF$6:$AF$128)</f>
        <v>108620826</v>
      </c>
      <c r="AG135" s="27">
        <f t="shared" ca="1" si="110"/>
        <v>0.58005224091425611</v>
      </c>
      <c r="AH135" s="115">
        <f>SUMIF($E$6:$E$128,"301",$AH$6:$AH$128)</f>
        <v>2258577304</v>
      </c>
      <c r="AI135" s="115">
        <f>SUMIF($E$6:$E$128,"301",$AI$6:$AI$128)</f>
        <v>123731165</v>
      </c>
      <c r="AJ135" s="115">
        <f>SUMIF($E$6:$E$128,"301",$AJ$6:$AJ$128)</f>
        <v>0</v>
      </c>
      <c r="AK135" s="115">
        <f>SUMIF($E$6:$E$128,"301",$AK$6:$AK$128)</f>
        <v>24243035</v>
      </c>
      <c r="AL135" s="115">
        <f>SUMIF($E$6:$E$128,"301",$AL$6:$AL$128)</f>
        <v>20000000</v>
      </c>
      <c r="AM135" s="115">
        <f>SUMIF($E$6:$E$128,"301",$AM$6:$AM$128)</f>
        <v>0</v>
      </c>
      <c r="AN135" s="115">
        <f>SUMIF($E$6:$E$128,"301",$AN$6:$AN$128)</f>
        <v>0</v>
      </c>
      <c r="AO135" s="115">
        <f>SUMIF($E$6:$E$128,"301",$AO$6:$AO$128)</f>
        <v>0</v>
      </c>
      <c r="AP135" s="115">
        <f>SUMIF($E$6:$E$128,"301",$AP$6:$AP$128)</f>
        <v>0</v>
      </c>
      <c r="AQ135" s="115">
        <f>SUMIF($E$6:$E$128,"301",$AQ$6:$AQ$128)</f>
        <v>0</v>
      </c>
      <c r="AR135" s="115">
        <f>SUMIF($E$6:$E$128,"301",$AR$6:$AR$128)</f>
        <v>0</v>
      </c>
      <c r="AS135" s="115">
        <f>SUMIF($E$6:$E$128,"301",$AS$6:$AS$128)</f>
        <v>0</v>
      </c>
      <c r="AT135" s="115">
        <f>SUMIF($E$6:$E$128,"301",$AT$6:$AT$128)</f>
        <v>0</v>
      </c>
      <c r="AU135" s="115">
        <f>SUMIF($E$6:$E$128,"301",$AU$6:$AU$128)</f>
        <v>0</v>
      </c>
      <c r="AV135" s="115">
        <f>SUMIF($E$6:$E$128,"301",$AV$6:$AV$128)</f>
        <v>0</v>
      </c>
      <c r="AW135" s="115">
        <f>SUMIF($E$6:$E$128,"301",$AW$6:$AW$128)</f>
        <v>0</v>
      </c>
      <c r="AX135" s="115">
        <f>SUMIF($E$6:$E$128,"301",$AX$6:$AX$128)</f>
        <v>0</v>
      </c>
      <c r="AY135" s="115">
        <f>SUMIF($E$6:$E$128,"301",$AY$6:$AY$128)</f>
        <v>1086714654</v>
      </c>
      <c r="AZ135" s="115">
        <f>SUMIF($E$6:$E$128,"301",$AZ$6:$AZ$128)</f>
        <v>144029244</v>
      </c>
      <c r="BA135" s="115">
        <f>SUMIF($E$6:$E$128,"301",$BA$6:$BA$128)</f>
        <v>13620000</v>
      </c>
      <c r="BB135" s="115">
        <f>SUMIF($E$6:$E$128,"301",$BB$6:$BB$128)</f>
        <v>791164006</v>
      </c>
      <c r="BC135" s="115">
        <f>SUMIF($E$6:$E$128,"301",$BC$6:$BC$128)</f>
        <v>0</v>
      </c>
      <c r="BD135" s="115">
        <f>SUMIF($E$6:$E$128,"301",$BD$6:$BD$128)</f>
        <v>0</v>
      </c>
      <c r="BE135" s="115">
        <f>SUMIF($E$6:$E$128,"301",$BE$6:$BE$128)</f>
        <v>55075200</v>
      </c>
      <c r="BF135" s="97">
        <f t="shared" ca="1" si="111"/>
        <v>0.41994775908574389</v>
      </c>
      <c r="BG135" s="30">
        <f t="shared" si="112"/>
        <v>1635170784</v>
      </c>
      <c r="BH135" s="116">
        <f>SUMIF($E$6:$E$128,"301",$BH$6:$BH$128)</f>
        <v>372992255</v>
      </c>
      <c r="BI135" s="116">
        <f>SUMIF($E$6:$E$128,"301",$BI$6:$BI$128)</f>
        <v>0</v>
      </c>
      <c r="BJ135" s="116">
        <f>SUMIF($E$6:$E$128,"301",$BJ$6:$BJ$128)</f>
        <v>5640225</v>
      </c>
      <c r="BK135" s="116">
        <f>SUMIF($E$6:$E$128,"301",$BK$6:$BK$128)</f>
        <v>14553122</v>
      </c>
      <c r="BL135" s="116">
        <f>SUMIF($E$6:$E$128,"301",$BL$6:$BL$128)</f>
        <v>0</v>
      </c>
      <c r="BM135" s="116">
        <f>SUMIF($E$6:$E$128,"301",$BM$6:$BM$128)</f>
        <v>0</v>
      </c>
      <c r="BN135" s="116">
        <f>SUMIF($E$6:$E$128,"301",$BN$6:$BN$128)</f>
        <v>0</v>
      </c>
      <c r="BO135" s="116">
        <f>SUMIF($E$6:$E$128,"301",$BO$6:$BO$128)</f>
        <v>0</v>
      </c>
      <c r="BP135" s="116">
        <f>SUMIF($E$6:$E$128,"301",$BP$6:$BP$128)</f>
        <v>0</v>
      </c>
      <c r="BQ135" s="116">
        <f>SUMIF($E$6:$E$128,"301",$BQ$6:$BQ$128)</f>
        <v>0</v>
      </c>
      <c r="BR135" s="116">
        <f>SUMIF($E$6:$E$128,"301",$BR$6:$BR$128)</f>
        <v>0</v>
      </c>
      <c r="BS135" s="116">
        <f>SUMIF($E$6:$E$128,"301",$BS$6:$BS$128)</f>
        <v>0</v>
      </c>
      <c r="BT135" s="116">
        <f>SUMIF($E$6:$E$128,"301",$BT$6:$BT$128)</f>
        <v>0</v>
      </c>
      <c r="BU135" s="116">
        <f>SUMIF($E$6:$E$128,"301",$BU$6:$BU$128)</f>
        <v>0</v>
      </c>
      <c r="BV135" s="116">
        <f>SUMIF($E$6:$E$128,"301",$BV$6:$BV$128)</f>
        <v>0</v>
      </c>
      <c r="BW135" s="116">
        <f>SUMIF($E$6:$E$128,"301",$BW$6:$BW$128)</f>
        <v>0</v>
      </c>
      <c r="BX135" s="116">
        <f>SUMIF($E$6:$E$128,"301",$BX$6:$BX$128)</f>
        <v>108350641</v>
      </c>
      <c r="BY135" s="116">
        <f>SUMIF($E$6:$E$128,"301",$BY$6:$BY$128)</f>
        <v>41994853</v>
      </c>
      <c r="BZ135" s="116">
        <f>SUMIF($E$6:$E$128,"301",$BZ$6:$BZ$128)</f>
        <v>355903</v>
      </c>
      <c r="CA135" s="116">
        <f>SUMIF($E$6:$E$128,"301",$CA$6:$CA$128)</f>
        <v>1037738159</v>
      </c>
      <c r="CB135" s="116">
        <f>SUMIF($E$6:$E$128,"301",$CB$6:$CB$128)</f>
        <v>0</v>
      </c>
      <c r="CC135" s="116">
        <f>SUMIF($E$6:$E$128,"301",$CC$6:$CC$128)</f>
        <v>0</v>
      </c>
      <c r="CD135" s="117">
        <f>SUMIF($E$6:$E$128,"301",$CD$6:$CD$128)</f>
        <v>53545626</v>
      </c>
      <c r="CE135" s="27">
        <f t="shared" ca="1" si="113"/>
        <v>0.41875001313644306</v>
      </c>
      <c r="CF135" s="47">
        <f t="shared" si="114"/>
        <v>1630507063</v>
      </c>
      <c r="CG135" s="115">
        <f>SUMIF($E$6:$E$128,"301",$CG$6:$CG$128)</f>
        <v>0</v>
      </c>
      <c r="CH135" s="115">
        <f>SUMIF($E$6:$E$128,"301",$CH$6:$CH$128)</f>
        <v>0</v>
      </c>
      <c r="CI135" s="115">
        <f>SUMIF($E$6:$E$128,"301",$CI$6:$CI$128)</f>
        <v>0</v>
      </c>
      <c r="CJ135" s="115">
        <f>SUMIF($E$6:$E$128,"301",$CJ$6:$CJ$128)</f>
        <v>0</v>
      </c>
      <c r="CK135" s="115">
        <f>SUMIF($E$6:$E$128,"301",$CK$6:$CK$128)</f>
        <v>0</v>
      </c>
      <c r="CL135" s="115">
        <f>SUMIF($E$6:$E$128,"301",$CL$6:$CL$128)</f>
        <v>0</v>
      </c>
      <c r="CM135" s="115">
        <f>SUMIF($E$6:$E$128,"301",$CM$6:$CM$128)</f>
        <v>0</v>
      </c>
      <c r="CN135" s="115">
        <f>SUMIF($E$6:$E$128,"301",$CN$6:$CN$128)</f>
        <v>0</v>
      </c>
      <c r="CO135" s="115">
        <f>SUMIF($E$6:$E$128,"301",$CO$6:$CO$128)</f>
        <v>0</v>
      </c>
      <c r="CP135" s="115">
        <f>SUMIF($E$6:$E$128,"301",$CP$6:$CP$128)</f>
        <v>0</v>
      </c>
      <c r="CQ135" s="115">
        <f>SUMIF($E$6:$E$128,"301",$CQ$6:$CQ$128)</f>
        <v>0</v>
      </c>
      <c r="CR135" s="115">
        <f>SUMIF($E$6:$E$128,"301",$CR$6:$CR$128)</f>
        <v>0</v>
      </c>
      <c r="CS135" s="115">
        <f>SUMIF($E$6:$E$128,"301",$CS$6:$CS$128)</f>
        <v>0</v>
      </c>
      <c r="CT135" s="115">
        <f>SUMIF($E$6:$E$128,"301",$CT$6:$CT$128)</f>
        <v>0</v>
      </c>
      <c r="CU135" s="115">
        <f>SUMIF($E$6:$E$128,"301",$CU$6:$CU$128)</f>
        <v>0</v>
      </c>
      <c r="CV135" s="115">
        <f>SUMIF($E$6:$E$128,"301",$CV$6:$CV$128)</f>
        <v>0</v>
      </c>
      <c r="CW135" s="115">
        <f>SUMIF($E$6:$E$128,"301",$CW$6:$CW$128)</f>
        <v>920497331</v>
      </c>
      <c r="CX135" s="115">
        <f>SUMIF($E$6:$E$128,"301",$CX$6:$CX$128)</f>
        <v>141620104</v>
      </c>
      <c r="CY135" s="115">
        <f>SUMIF($E$6:$E$128,"301",$CY$6:$CY$128)</f>
        <v>13620000</v>
      </c>
      <c r="CZ135" s="115">
        <f>SUMIF($E$6:$E$128,"301",$CZ$6:$CZ$128)</f>
        <v>509944628</v>
      </c>
      <c r="DA135" s="115">
        <f>SUMIF($E$6:$E$128,"301",$DA$6:$DA$128)</f>
        <v>0</v>
      </c>
      <c r="DB135" s="115">
        <f>SUMIF($E$6:$E$128,"301",$DB$6:$DB$128)</f>
        <v>0</v>
      </c>
      <c r="DC135" s="118">
        <f>SUMIF($E$6:$E$128,"301",$DC$6:$DC$128)</f>
        <v>44825000</v>
      </c>
      <c r="DD135" s="27">
        <f t="shared" ca="1" si="115"/>
        <v>0.581249986863557</v>
      </c>
      <c r="DE135" s="30">
        <f t="shared" ca="1" si="116"/>
        <v>2263241025</v>
      </c>
      <c r="DF135" s="116">
        <f ca="1">SUMIF($E$6:$E$129,"301",$DF$6:$DF$128)</f>
        <v>496723420</v>
      </c>
      <c r="DG135" s="116">
        <f>SUMIF($E$6:$E$128,"301",$DG$6:$DG$128)</f>
        <v>0</v>
      </c>
      <c r="DH135" s="116">
        <f>SUMIF($E$6:$E$128,"301",$DH$6:$DH$128)</f>
        <v>29883260</v>
      </c>
      <c r="DI135" s="116">
        <f>SUMIF($E$6:$E$128,"301",$DI$6:$DI$128)</f>
        <v>34553122</v>
      </c>
      <c r="DJ135" s="116">
        <f>SUMIF($E$6:$E$128,"301",$DJ$6:$DJ$128)</f>
        <v>0</v>
      </c>
      <c r="DK135" s="116">
        <f>SUMIF($E$6:$E$128,"301",$DK$6:$DK$128)</f>
        <v>0</v>
      </c>
      <c r="DL135" s="116">
        <f>SUMIF($E$6:$E$128,"301",$DL$6:$DL$128)</f>
        <v>0</v>
      </c>
      <c r="DM135" s="116">
        <f>SUMIF($E$6:$E$128,"301",$DM$6:$DM$128)</f>
        <v>0</v>
      </c>
      <c r="DN135" s="116">
        <f>SUMIF($E$6:$E$128,"301",$DN$6:$DN$128)</f>
        <v>0</v>
      </c>
      <c r="DO135" s="116">
        <f>SUMIF($E$6:$E$128,"301",$DO$6:$DO$128)</f>
        <v>0</v>
      </c>
      <c r="DP135" s="119">
        <f>SUMIF($E$6:$E$128,"301",$DP$6:$DP$128)</f>
        <v>0</v>
      </c>
      <c r="DQ135" s="119">
        <f>SUMIF($E$6:$E$128,"301",$DQ$6:$DQ$128)</f>
        <v>0</v>
      </c>
      <c r="DR135" s="119">
        <f>SUMIF($E$6:$E$128,"301",$DR$6:$DR$128)</f>
        <v>0</v>
      </c>
      <c r="DS135" s="119">
        <f>SUMIF($E$6:$E$128,"301",$DS$6:$DS$128)</f>
        <v>0</v>
      </c>
      <c r="DT135" s="119">
        <f>SUMIF($E$6:$E$128,"301",$DT$6:$DT$128)</f>
        <v>0</v>
      </c>
      <c r="DU135" s="119">
        <f>SUMIF($E$6:$E$128,"301",$DU$6:$DU$128)</f>
        <v>0</v>
      </c>
      <c r="DV135" s="119">
        <f>SUMIF($E$6:$E$128,"301",$DV$6:$DV$128)</f>
        <v>274567964</v>
      </c>
      <c r="DW135" s="119">
        <f>SUMIF($E$6:$E$128,"301",$DW$6:$DW$128)</f>
        <v>44403993</v>
      </c>
      <c r="DX135" s="119">
        <f>SUMIF($E$6:$E$128,"301",$DX$6:$DX$128)</f>
        <v>355903</v>
      </c>
      <c r="DY135" s="119">
        <f>SUMIF($E$6:$E$128,"301",$DY$6:$DY$128)</f>
        <v>1318957537</v>
      </c>
      <c r="DZ135" s="119">
        <f>SUMIF($E$6:$E$128,"301",$DZ$6:$DZ$128)</f>
        <v>0</v>
      </c>
      <c r="EA135" s="119">
        <f>SUMIF($E$6:$E$128,"301",$EA$6:$EA$128)</f>
        <v>0</v>
      </c>
      <c r="EB135" s="119">
        <f>SUMIF($E$6:$E$128,"301",$EB$6:$EB$128)</f>
        <v>63795826</v>
      </c>
      <c r="ED135" s="31">
        <f t="shared" ca="1" si="117"/>
        <v>3893748088</v>
      </c>
      <c r="EE135" s="31">
        <f t="shared" ref="EE135:EE140" si="118">+AH135+BG135</f>
        <v>3893748088</v>
      </c>
      <c r="EF135" s="31">
        <f t="shared" ref="EF135:EF140" ca="1" si="119">+CF135+DE135</f>
        <v>3893748088</v>
      </c>
    </row>
    <row r="136" spans="1:136" ht="16.5" customHeight="1" x14ac:dyDescent="0.25">
      <c r="C136" s="120"/>
      <c r="D136" s="111" t="s">
        <v>370</v>
      </c>
      <c r="E136" s="104">
        <v>310</v>
      </c>
      <c r="F136" s="112"/>
      <c r="G136" s="113">
        <f ca="1">SUMIF($E$6:$G$129,"310",$G$6:$J$128)</f>
        <v>880490457</v>
      </c>
      <c r="H136" s="114">
        <f ca="1">SUMIF($E$6:$H$129,"310",$H$6:$J$128)</f>
        <v>2239707400.67272</v>
      </c>
      <c r="I136" s="114">
        <f ca="1">SUMIF($E$6:$I$129,"310",$I$6:$J$128)</f>
        <v>1359216943.67272</v>
      </c>
      <c r="J136" s="113">
        <f>SUMIF($E$6:$E$128,"310",$J$6:$J$128)</f>
        <v>0</v>
      </c>
      <c r="K136" s="113">
        <f>SUMIF($E$6:$E$128,"310",$K$6:$K$128)</f>
        <v>370000000</v>
      </c>
      <c r="L136" s="113">
        <f>SUMIF($E$6:$E$129,"310",$L$6:$L$129)</f>
        <v>0</v>
      </c>
      <c r="M136" s="113">
        <f>SUMIF($E$6:$E$129,"310",$M$6:$M$129)</f>
        <v>167990457</v>
      </c>
      <c r="N136" s="115">
        <f>SUMIF($E$6:$E$128,"310",$N$6:$N$128)</f>
        <v>0</v>
      </c>
      <c r="O136" s="112">
        <f>SUMIF($E$6:$E$128,"310",$O$6:$O$128)</f>
        <v>0</v>
      </c>
      <c r="P136" s="112">
        <f>SUMIF($E$6:$E$128,"310",$P$6:$P$128)</f>
        <v>0</v>
      </c>
      <c r="Q136" s="112">
        <f>SUMIF($E$6:$E$128,"310",$Q$6:$Q$128)</f>
        <v>0</v>
      </c>
      <c r="R136" s="112">
        <f>SUMIF($E$6:$E$128,"310",$R$6:$R$128)</f>
        <v>0</v>
      </c>
      <c r="S136" s="112">
        <f>SUMIF($E$6:$E$128,"310",$S$6:$S$128)</f>
        <v>0</v>
      </c>
      <c r="T136" s="112">
        <f>SUMIF($E$6:$E$128,"310",$T$6:$T$128)</f>
        <v>0</v>
      </c>
      <c r="U136" s="112">
        <f>SUMIF($E$6:$E$128,"310",$U$6:$U$128)</f>
        <v>250000000</v>
      </c>
      <c r="V136" s="112">
        <f>SUMIF($E$6:$E$128,"310",$V$6:$V$128)</f>
        <v>0</v>
      </c>
      <c r="W136" s="112">
        <f>SUMIF($E$6:$E$128,"310",$W$6:$W$128)</f>
        <v>0</v>
      </c>
      <c r="X136" s="112">
        <f>SUMIF($E$6:$E$128,"310",$X$6:$X$128)</f>
        <v>0</v>
      </c>
      <c r="Y136" s="112">
        <f>SUMIF($E$6:$E$128,"310",$Y$6:$Y$128)</f>
        <v>0</v>
      </c>
      <c r="Z136" s="112">
        <f>SUMIF($E$6:$E$128,"310",$Z$6:$Z$128)</f>
        <v>0</v>
      </c>
      <c r="AA136" s="112">
        <f>SUMIF($E$6:$E$128,"310",$AA$6:$AA$128)</f>
        <v>0</v>
      </c>
      <c r="AB136" s="112">
        <f>SUMIF($E$6:$E$128,"310",$AB$6:$AB$128)</f>
        <v>0</v>
      </c>
      <c r="AC136" s="112">
        <f>SUMIF($E$6:$E$105,"310",$AC$6:$AC$105)</f>
        <v>0</v>
      </c>
      <c r="AD136" s="112"/>
      <c r="AE136" s="112">
        <f>SUMIF($E$6:$E$128,"310",$AE$6:$AE$128)</f>
        <v>0</v>
      </c>
      <c r="AF136" s="112">
        <f>SUMIF($E$6:$E$128,"310",$AF$6:$AF$128)</f>
        <v>92500000</v>
      </c>
      <c r="AG136" s="27">
        <f t="shared" ca="1" si="110"/>
        <v>0.64610959661996659</v>
      </c>
      <c r="AH136" s="115">
        <f>SUMIF($E$6:$E$128,"310",$AH$6:$AH$128)</f>
        <v>568893334</v>
      </c>
      <c r="AI136" s="115">
        <f>SUMIF($E$6:$E$128,"310",$AI$6:$AI$128)</f>
        <v>0</v>
      </c>
      <c r="AJ136" s="115">
        <f>SUMIF($E$6:$E$128,"310",$AJ$6:$AJ$128)</f>
        <v>250933334</v>
      </c>
      <c r="AK136" s="115">
        <f>SUMIF($E$6:$E$128,"310",$AK$6:$AK$128)</f>
        <v>0</v>
      </c>
      <c r="AL136" s="115">
        <f>SUMIF($E$6:$E$128,"310",$AL$6:$AL$128)</f>
        <v>0</v>
      </c>
      <c r="AM136" s="115">
        <f>SUMIF($E$6:$E$128,"310",$AM$6:$AM$128)</f>
        <v>0</v>
      </c>
      <c r="AN136" s="115">
        <f>SUMIF($E$6:$E$128,"310",$AN$6:$AN$128)</f>
        <v>0</v>
      </c>
      <c r="AO136" s="115">
        <f>SUMIF($E$6:$E$128,"310",$AO$6:$AO$128)</f>
        <v>0</v>
      </c>
      <c r="AP136" s="115">
        <f>SUMIF($E$6:$E$128,"310",$AP$6:$AP$128)</f>
        <v>0</v>
      </c>
      <c r="AQ136" s="115">
        <f>SUMIF($E$6:$E$128,"310",$AQ$6:$AQ$128)</f>
        <v>0</v>
      </c>
      <c r="AR136" s="115">
        <f>SUMIF($E$6:$E$128,"310",$AR$6:$AR$128)</f>
        <v>0</v>
      </c>
      <c r="AS136" s="115">
        <f>SUMIF($E$6:$E$128,"310",$AS$6:$AS$128)</f>
        <v>0</v>
      </c>
      <c r="AT136" s="115">
        <f>SUMIF($E$6:$E$128,"310",$AT$6:$AT$128)</f>
        <v>250000000</v>
      </c>
      <c r="AU136" s="115">
        <f>SUMIF($E$6:$E$128,"310",$AU$6:$AU$128)</f>
        <v>0</v>
      </c>
      <c r="AV136" s="115">
        <f>SUMIF($E$6:$E$128,"310",$AV$6:$AV$128)</f>
        <v>0</v>
      </c>
      <c r="AW136" s="115">
        <f>SUMIF($E$6:$E$128,"310",$AW$6:$AW$128)</f>
        <v>0</v>
      </c>
      <c r="AX136" s="115">
        <f>SUMIF($E$6:$E$128,"310",$AX$6:$AX$128)</f>
        <v>0</v>
      </c>
      <c r="AY136" s="115">
        <f>SUMIF($E$6:$E$128,"310",$AY$6:$AY$128)</f>
        <v>0</v>
      </c>
      <c r="AZ136" s="115">
        <f>SUMIF($E$6:$E$128,"310",$AZ$6:$AZ$128)</f>
        <v>0</v>
      </c>
      <c r="BA136" s="115">
        <f>SUMIF($E$6:$E$128,"310",$BA$6:$BA$128)</f>
        <v>0</v>
      </c>
      <c r="BB136" s="115">
        <f>SUMIF($E$6:$E$128,"310",$BB$6:$BB$128)</f>
        <v>0</v>
      </c>
      <c r="BC136" s="115">
        <f>SUMIF($E$6:$E$128,"310",$BC$6:$BC$128)</f>
        <v>0</v>
      </c>
      <c r="BD136" s="115">
        <f>SUMIF($E$6:$E$128,"310",$BD$6:$BD$128)</f>
        <v>0</v>
      </c>
      <c r="BE136" s="115">
        <f>SUMIF($E$6:$E$128,"310",$BE$6:$BE$128)</f>
        <v>67960000</v>
      </c>
      <c r="BF136" s="97">
        <f t="shared" ca="1" si="111"/>
        <v>0.35389040338003341</v>
      </c>
      <c r="BG136" s="30">
        <f t="shared" si="112"/>
        <v>311597123</v>
      </c>
      <c r="BH136" s="116">
        <f>SUMIF($E$6:$E$128,"310",$BH$6:$BH$128)</f>
        <v>0</v>
      </c>
      <c r="BI136" s="116">
        <f>SUMIF($E$6:$E$128,"310",$BI$6:$BI$128)</f>
        <v>119066666</v>
      </c>
      <c r="BJ136" s="116">
        <f>SUMIF($E$6:$E$128,"310",$BJ$6:$BJ$128)</f>
        <v>0</v>
      </c>
      <c r="BK136" s="116">
        <f>SUMIF($E$6:$E$128,"310",$BK$6:$BK$128)</f>
        <v>167990457</v>
      </c>
      <c r="BL136" s="116">
        <f>SUMIF($E$6:$E$128,"310",$BL$6:$BL$128)</f>
        <v>0</v>
      </c>
      <c r="BM136" s="116">
        <f>SUMIF($E$6:$E$128,"310",$BM$6:$BM$128)</f>
        <v>0</v>
      </c>
      <c r="BN136" s="116">
        <f>SUMIF($E$6:$E$128,"310",$BN$6:$BN$128)</f>
        <v>0</v>
      </c>
      <c r="BO136" s="116">
        <f>SUMIF($E$6:$E$128,"310",$BO$6:$BO$128)</f>
        <v>0</v>
      </c>
      <c r="BP136" s="116">
        <f>SUMIF($E$6:$E$128,"310",$BP$6:$BP$128)</f>
        <v>0</v>
      </c>
      <c r="BQ136" s="116">
        <f>SUMIF($E$6:$E$128,"310",$BQ$6:$BQ$128)</f>
        <v>0</v>
      </c>
      <c r="BR136" s="116">
        <f>SUMIF($E$6:$E$128,"310",$BR$6:$BR$128)</f>
        <v>0</v>
      </c>
      <c r="BS136" s="116">
        <f>SUMIF($E$6:$E$128,"310",$BS$6:$BS$128)</f>
        <v>0</v>
      </c>
      <c r="BT136" s="116">
        <f>SUMIF($E$6:$E$128,"310",$BT$6:$BT$128)</f>
        <v>0</v>
      </c>
      <c r="BU136" s="116">
        <f>SUMIF($E$6:$E$128,"310",$BU$6:$BU$128)</f>
        <v>0</v>
      </c>
      <c r="BV136" s="116">
        <f>SUMIF($E$6:$E$128,"310",$BV$6:$BV$128)</f>
        <v>0</v>
      </c>
      <c r="BW136" s="116">
        <f>SUMIF($E$6:$E$128,"310",$BW$6:$BW$128)</f>
        <v>0</v>
      </c>
      <c r="BX136" s="116">
        <f>SUMIF($E$6:$E$128,"310",$BX$6:$BX$128)</f>
        <v>0</v>
      </c>
      <c r="BY136" s="116">
        <f>SUMIF($E$6:$E$128,"310",$BY$6:$BY$128)</f>
        <v>0</v>
      </c>
      <c r="BZ136" s="116">
        <f>SUMIF($E$6:$E$128,"310",$BZ$6:$BZ$128)</f>
        <v>0</v>
      </c>
      <c r="CA136" s="116">
        <f>SUMIF($E$6:$E$128,"310",$CA$6:$CA$128)</f>
        <v>0</v>
      </c>
      <c r="CB136" s="116">
        <f>SUMIF($E$6:$E$128,"310",$CB$6:$CB$128)</f>
        <v>0</v>
      </c>
      <c r="CC136" s="116">
        <f>SUMIF($E$6:$E$128,"310",$CC$6:$CC$128)</f>
        <v>0</v>
      </c>
      <c r="CD136" s="117">
        <f>SUMIF($E$6:$E$128,"310",$CD$6:$CD$128)</f>
        <v>24540000</v>
      </c>
      <c r="CE136" s="27">
        <f t="shared" ca="1" si="113"/>
        <v>0.39338221924647165</v>
      </c>
      <c r="CF136" s="47">
        <f t="shared" si="114"/>
        <v>346369290</v>
      </c>
      <c r="CG136" s="115">
        <f>SUMIF($E$6:$E$128,"310",$CG$6:$CG$128)</f>
        <v>0</v>
      </c>
      <c r="CH136" s="115">
        <f>SUMIF($E$6:$E$128,"310",$CH$6:$CH$128)</f>
        <v>144329120</v>
      </c>
      <c r="CI136" s="115">
        <f>SUMIF($E$6:$E$128,"310",$CI$6:$CI$128)</f>
        <v>0</v>
      </c>
      <c r="CJ136" s="115">
        <f>SUMIF($E$6:$E$128,"310",$CJ$6:$CJ$128)</f>
        <v>0</v>
      </c>
      <c r="CK136" s="115">
        <f>SUMIF($E$6:$E$128,"310",$CK$6:$CK$128)</f>
        <v>0</v>
      </c>
      <c r="CL136" s="115">
        <f>SUMIF($E$6:$E$128,"310",$CL$6:$CL$128)</f>
        <v>0</v>
      </c>
      <c r="CM136" s="115">
        <f>SUMIF($E$6:$E$128,"310",$CM$6:$CM$128)</f>
        <v>0</v>
      </c>
      <c r="CN136" s="115">
        <f>SUMIF($E$6:$E$128,"310",$CN$6:$CN$128)</f>
        <v>0</v>
      </c>
      <c r="CO136" s="115">
        <f>SUMIF($E$6:$E$128,"310",$CO$6:$CO$128)</f>
        <v>0</v>
      </c>
      <c r="CP136" s="115">
        <f>SUMIF($E$6:$E$128,"310",$CP$6:$CP$128)</f>
        <v>0</v>
      </c>
      <c r="CQ136" s="115">
        <f>SUMIF($E$6:$E$128,"310",$CQ$6:$CQ$128)</f>
        <v>0</v>
      </c>
      <c r="CR136" s="115">
        <f>SUMIF($E$6:$E$128,"310",$CR$6:$CR$128)</f>
        <v>172855237</v>
      </c>
      <c r="CS136" s="115">
        <f>SUMIF($E$6:$E$128,"310",$CS$6:$CS$128)</f>
        <v>0</v>
      </c>
      <c r="CT136" s="115">
        <f>SUMIF($E$6:$E$128,"310",$CT$6:$CT$128)</f>
        <v>0</v>
      </c>
      <c r="CU136" s="115">
        <f>SUMIF($E$6:$E$128,"310",$CU$6:$CU$128)</f>
        <v>0</v>
      </c>
      <c r="CV136" s="115">
        <f>SUMIF($E$6:$E$128,"310",$CV$6:$CV$128)</f>
        <v>0</v>
      </c>
      <c r="CW136" s="115">
        <f>SUMIF($E$6:$E$128,"310",$CW$6:$CW$128)</f>
        <v>0</v>
      </c>
      <c r="CX136" s="115">
        <f>SUMIF($E$6:$E$128,"310",$CX$6:$CX$128)</f>
        <v>0</v>
      </c>
      <c r="CY136" s="115">
        <f>SUMIF($E$6:$E$128,"310",$CY$6:$CY$128)</f>
        <v>0</v>
      </c>
      <c r="CZ136" s="115">
        <f>SUMIF($E$6:$E$128,"310",$CZ$6:$CZ$128)</f>
        <v>0</v>
      </c>
      <c r="DA136" s="115">
        <f>SUMIF($E$6:$E$128,"310",$DA$6:$DA$128)</f>
        <v>0</v>
      </c>
      <c r="DB136" s="115">
        <f>SUMIF($E$6:$E$128,"310",$DB$6:$DB$128)</f>
        <v>0</v>
      </c>
      <c r="DC136" s="118">
        <f>SUMIF($E$6:$E$128,"310",$DC$6:$DC$128)</f>
        <v>29184933</v>
      </c>
      <c r="DD136" s="27">
        <f t="shared" ca="1" si="115"/>
        <v>0.60661778075352835</v>
      </c>
      <c r="DE136" s="30">
        <f t="shared" si="116"/>
        <v>534121167</v>
      </c>
      <c r="DF136" s="116">
        <f>SUMIF($E$6:$E$128,"310",$DF$6:$DF$128)</f>
        <v>0</v>
      </c>
      <c r="DG136" s="116">
        <f>SUMIF($E$6:$E$128,"310",$DG$6:$DG$128)</f>
        <v>225670880</v>
      </c>
      <c r="DH136" s="116">
        <f>SUMIF($E$6:$E$128,"310",$DH$6:$DH$128)</f>
        <v>0</v>
      </c>
      <c r="DI136" s="116">
        <f>SUMIF($E$6:$E$128,"310",$DI$6:$DI$128)</f>
        <v>167990457</v>
      </c>
      <c r="DJ136" s="116">
        <f>SUMIF($E$6:$E$128,"310",$DJ$6:$DJ$128)</f>
        <v>0</v>
      </c>
      <c r="DK136" s="116">
        <f>SUMIF($E$6:$E$128,"310",$DK$6:$DK$128)</f>
        <v>0</v>
      </c>
      <c r="DL136" s="116">
        <f>SUMIF($E$6:$E$128,"310",$DL$6:$DL$128)</f>
        <v>0</v>
      </c>
      <c r="DM136" s="116">
        <f>SUMIF($E$6:$E$128,"310",$DM$6:$DM$128)</f>
        <v>0</v>
      </c>
      <c r="DN136" s="116">
        <f>SUMIF($E$6:$E$128,"310",$DN$6:$DN$128)</f>
        <v>0</v>
      </c>
      <c r="DO136" s="116">
        <f>SUMIF($E$6:$E$128,"310",$DO$6:$DO$128)</f>
        <v>0</v>
      </c>
      <c r="DP136" s="119">
        <f>SUMIF($E$6:$E$128,"310",$DP$6:$DP$128)</f>
        <v>0</v>
      </c>
      <c r="DQ136" s="119">
        <f>SUMIF($E$6:$E$128,"310",$DQ$6:$DQ$128)</f>
        <v>77144763</v>
      </c>
      <c r="DR136" s="119">
        <f>SUMIF($E$6:$E$128,"310",$DR$6:$DR$128)</f>
        <v>0</v>
      </c>
      <c r="DS136" s="119">
        <f>SUMIF($E$6:$E$128,"310",$DS$6:$DS$128)</f>
        <v>0</v>
      </c>
      <c r="DT136" s="119">
        <f>SUMIF($E$6:$E$128,"310",$DT$6:$DT$128)</f>
        <v>0</v>
      </c>
      <c r="DU136" s="119">
        <f>SUMIF($E$6:$E$128,"310",$DU$6:$DU$128)</f>
        <v>0</v>
      </c>
      <c r="DV136" s="119">
        <f>SUMIF($E$6:$E$128,"310",$DV$6:$DV$128)</f>
        <v>0</v>
      </c>
      <c r="DW136" s="119">
        <f>SUMIF($E$6:$E$128,"310",$DW$6:$DW$128)</f>
        <v>0</v>
      </c>
      <c r="DX136" s="119">
        <f>SUMIF($E$6:$E$128,"310",$DX$6:$DX$128)</f>
        <v>0</v>
      </c>
      <c r="DY136" s="119">
        <f>SUMIF($E$6:$E$128,"310",$DY$6:$DY$128)</f>
        <v>0</v>
      </c>
      <c r="DZ136" s="119">
        <f>SUMIF($E$6:$E$128,"310",$DZ$6:$DZ$128)</f>
        <v>0</v>
      </c>
      <c r="EA136" s="119">
        <f>SUMIF($E$6:$E$128,"310",$EA$6:$EA$128)</f>
        <v>0</v>
      </c>
      <c r="EB136" s="119">
        <f>SUMIF($E$6:$E$128,"310",$EB$6:$EB$128)</f>
        <v>63315067</v>
      </c>
      <c r="ED136" s="31">
        <f t="shared" ca="1" si="117"/>
        <v>880490457</v>
      </c>
      <c r="EE136" s="31">
        <f t="shared" si="118"/>
        <v>880490457</v>
      </c>
      <c r="EF136" s="31">
        <f t="shared" si="119"/>
        <v>880490457</v>
      </c>
    </row>
    <row r="137" spans="1:136" x14ac:dyDescent="0.25">
      <c r="C137" s="122"/>
      <c r="D137" s="111" t="s">
        <v>371</v>
      </c>
      <c r="E137" s="104">
        <v>410</v>
      </c>
      <c r="F137" s="112"/>
      <c r="G137" s="113">
        <f ca="1">SUMIF($E$6:$G$129,"410",$G$6:$J$128)</f>
        <v>7636534557</v>
      </c>
      <c r="H137" s="114">
        <f ca="1">SUMIF($E$6:$H$129,"410",$H$6:$J$128)</f>
        <v>8545602000</v>
      </c>
      <c r="I137" s="114">
        <f ca="1">SUMIF($E$6:$I$129,"410",$I$6:$J$128)</f>
        <v>909067443</v>
      </c>
      <c r="J137" s="113">
        <f>SUMIF($E$6:$E$128,"410",$J$6:$J$128)</f>
        <v>0</v>
      </c>
      <c r="K137" s="113">
        <f>SUMIF($E$6:$E$129,"410",$K$6:$K$129)</f>
        <v>200000000</v>
      </c>
      <c r="L137" s="113">
        <f>SUMIF($E$6:$E$129,"410",$L$6:$L$129)</f>
        <v>0</v>
      </c>
      <c r="M137" s="113">
        <f>SUMIF($E$6:$E$129,"410",$M$6:$M$129)</f>
        <v>0</v>
      </c>
      <c r="N137" s="115">
        <f>SUMIF($E$6:$E$128,"410",$N$6:$N$128)</f>
        <v>0</v>
      </c>
      <c r="O137" s="112">
        <f>SUMIF($E$6:$E$128,"410",$O$6:$O$128)</f>
        <v>0</v>
      </c>
      <c r="P137" s="112">
        <f>SUMIF($E$6:$E$128,"410",$P$6:$P$128)</f>
        <v>0</v>
      </c>
      <c r="Q137" s="112">
        <f>SUMIF($E$6:$E$128,"410",$Q$6:$Q$128)</f>
        <v>1976753328</v>
      </c>
      <c r="R137" s="112">
        <f>SUMIF($E$6:$E$128,"410",$R$6:$R$128)</f>
        <v>90000000</v>
      </c>
      <c r="S137" s="112">
        <f>SUMIF($E$6:$E$128,"410",$S$6:$S$128)</f>
        <v>116000000</v>
      </c>
      <c r="T137" s="112">
        <f>SUMIF($E$6:$E$128,"410",$T$6:$T$128)</f>
        <v>120134741</v>
      </c>
      <c r="U137" s="112">
        <f>SUMIF($E$6:$E$128,"410",$U$6:$U$128)</f>
        <v>0</v>
      </c>
      <c r="V137" s="112">
        <f>SUMIF($E$6:$E$128,"410",$V$6:$V$128)</f>
        <v>0</v>
      </c>
      <c r="W137" s="112">
        <f>SUMIF($E$6:$E$128,"410",$W$6:$W$128)</f>
        <v>0</v>
      </c>
      <c r="X137" s="112">
        <f>SUMIF($E$6:$E$128,"410",$X$6:$X$128)</f>
        <v>0</v>
      </c>
      <c r="Y137" s="112">
        <f>SUMIF($E$6:$E$128,"410",$Y$6:$Y$128)</f>
        <v>3650000000</v>
      </c>
      <c r="Z137" s="112">
        <f>SUMIF($E$6:$E$128,"410",$Z$6:$Z$128)</f>
        <v>0</v>
      </c>
      <c r="AA137" s="112">
        <f>SUMIF($E$6:$E$128,"410",$AA$6:$AA$128)</f>
        <v>0</v>
      </c>
      <c r="AB137" s="112">
        <f>SUMIF($E$6:$E$105,"410",$AB$6:$AB$105)</f>
        <v>758667215</v>
      </c>
      <c r="AC137" s="112">
        <f>SUMIF($E$6:$E$105,"410",$AC$6:$AC$105)</f>
        <v>0</v>
      </c>
      <c r="AD137" s="112">
        <f>SUMIF($E$6:$E$128,"410",$AD$6:$AD$128)</f>
        <v>320081566</v>
      </c>
      <c r="AE137" s="112">
        <f>SUMIF($E$6:$E$128,"410",$AE$6:$AE$128)</f>
        <v>0</v>
      </c>
      <c r="AF137" s="112">
        <f>SUMIF($E$6:$E$128,"410",$AF$6:$AF$128)</f>
        <v>404897707</v>
      </c>
      <c r="AG137" s="27">
        <f t="shared" ca="1" si="110"/>
        <v>0.88538503722245387</v>
      </c>
      <c r="AH137" s="115">
        <f>SUMIF($E$6:$E$128,"410",$AH$6:$AH$128)</f>
        <v>6761273433</v>
      </c>
      <c r="AI137" s="115">
        <f>SUMIF($E$6:$E$128,"410",$AI$6:$AI$128)</f>
        <v>0</v>
      </c>
      <c r="AJ137" s="115">
        <f>SUMIF($E$6:$E$128,"410",$AJ$6:$AJ$128)</f>
        <v>200000000</v>
      </c>
      <c r="AK137" s="115">
        <f>SUMIF($E$6:$E$128,"410",$AK$6:$AK$128)</f>
        <v>0</v>
      </c>
      <c r="AL137" s="115">
        <f>SUMIF($E$6:$E$128,"410",$AL$6:$AL$128)</f>
        <v>0</v>
      </c>
      <c r="AM137" s="115">
        <f>SUMIF($E$6:$E$128,"410",$AM$6:$AM$128)</f>
        <v>0</v>
      </c>
      <c r="AN137" s="115">
        <f>SUMIF($E$6:$E$128,"410",$AN$6:$AN$128)</f>
        <v>0</v>
      </c>
      <c r="AO137" s="115">
        <f>SUMIF($E$6:$E$128,"410",$AO$6:$AO$128)</f>
        <v>0</v>
      </c>
      <c r="AP137" s="115">
        <f>SUMIF($E$6:$E$128,"410",$AP$6:$AP$128)</f>
        <v>1807596656</v>
      </c>
      <c r="AQ137" s="115">
        <f>SUMIF($E$6:$E$128,"410",$AQ$6:$AQ$128)</f>
        <v>60000000</v>
      </c>
      <c r="AR137" s="115">
        <f>SUMIF($E$6:$E$128,"410",$AR$6:$AR$128)</f>
        <v>80000000</v>
      </c>
      <c r="AS137" s="115">
        <f>SUMIF($E$6:$E$128,"410",$AS$6:$AS$128)</f>
        <v>105134741</v>
      </c>
      <c r="AT137" s="115">
        <f>SUMIF($E$6:$E$128,"410",$AT$6:$AT$128)</f>
        <v>0</v>
      </c>
      <c r="AU137" s="115">
        <f>SUMIF($E$6:$E$128,"410",$AU$6:$AU$128)</f>
        <v>0</v>
      </c>
      <c r="AV137" s="115">
        <f>SUMIF($E$6:$E$128,"410",$AV$6:$AV$128)</f>
        <v>0</v>
      </c>
      <c r="AW137" s="115">
        <f>SUMIF($E$6:$E$128,"410",$AW$6:$AW$128)</f>
        <v>0</v>
      </c>
      <c r="AX137" s="115">
        <f>SUMIF($E$6:$E$128,"410",$AX$6:$AX$128)</f>
        <v>3316172938</v>
      </c>
      <c r="AY137" s="115">
        <f>SUMIF($E$6:$E$128,"410",$AY$6:$AY$128)</f>
        <v>0</v>
      </c>
      <c r="AZ137" s="115">
        <f>SUMIF($E$6:$E$128,"410",$AZ$6:$AZ$128)</f>
        <v>0</v>
      </c>
      <c r="BA137" s="115">
        <f>SUMIF($E$6:$E$128,"410",$BA$6:$BA$128)</f>
        <v>641764646</v>
      </c>
      <c r="BB137" s="115">
        <f>SUMIF($E$6:$E$128,"410",$BB$6:$BB$128)</f>
        <v>0</v>
      </c>
      <c r="BC137" s="115">
        <f>SUMIF($E$6:$E$128,"410",$BC$6:$BC$128)</f>
        <v>290803643</v>
      </c>
      <c r="BD137" s="115">
        <f>SUMIF($E$6:$E$128,"410",$BD$6:$BD$128)</f>
        <v>0</v>
      </c>
      <c r="BE137" s="115">
        <f>SUMIF($E$6:$E$128,"410",$BE$6:$BE$128)</f>
        <v>259800809</v>
      </c>
      <c r="BF137" s="97">
        <f t="shared" ca="1" si="111"/>
        <v>0.11461496277754613</v>
      </c>
      <c r="BG137" s="30">
        <f t="shared" si="112"/>
        <v>875261124</v>
      </c>
      <c r="BH137" s="116">
        <f>SUMIF($E$6:$E$128,"410",$BH$6:$BH$128)</f>
        <v>0</v>
      </c>
      <c r="BI137" s="116">
        <f>SUMIF($E$6:$E$128,"410",$BI$6:$BI$128)</f>
        <v>0</v>
      </c>
      <c r="BJ137" s="116">
        <f>SUMIF($E$6:$E$128,"410",$BJ$6:$BJ$128)</f>
        <v>0</v>
      </c>
      <c r="BK137" s="116">
        <f>SUMIF($E$6:$E$128,"410",$BK$6:$BK$128)</f>
        <v>0</v>
      </c>
      <c r="BL137" s="116">
        <f>SUMIF($E$6:$E$128,"410",$BL$6:$BL$128)</f>
        <v>0</v>
      </c>
      <c r="BM137" s="116">
        <f>SUMIF($E$6:$E$128,"410",$BM$6:$BM$128)</f>
        <v>0</v>
      </c>
      <c r="BN137" s="116">
        <f>SUMIF($E$6:$E$128,"410",$BN$6:$BN$128)</f>
        <v>0</v>
      </c>
      <c r="BO137" s="116">
        <f>SUMIF($E$6:$E$128,"410",$BO$6:$BO$128)</f>
        <v>169156672</v>
      </c>
      <c r="BP137" s="116">
        <f>SUMIF($E$6:$E$128,"410",$BP$6:$BP$128)</f>
        <v>30000000</v>
      </c>
      <c r="BQ137" s="116">
        <f>SUMIF($E$6:$E$128,"410",$BQ$6:$BQ$128)</f>
        <v>36000000</v>
      </c>
      <c r="BR137" s="116">
        <f>SUMIF($E$6:$E$128,"410",$BR$6:$BR$128)</f>
        <v>15000000</v>
      </c>
      <c r="BS137" s="116">
        <f>SUMIF($E$6:$E$128,"410",$BS$6:$BS$128)</f>
        <v>0</v>
      </c>
      <c r="BT137" s="116">
        <f>SUMIF($E$6:$E$128,"410",$BT$6:$BT$128)</f>
        <v>0</v>
      </c>
      <c r="BU137" s="116">
        <f>SUMIF($E$6:$E$128,"410",$BU$6:$BU$128)</f>
        <v>0</v>
      </c>
      <c r="BV137" s="116">
        <f>SUMIF($E$6:$E$128,"410",$BV$6:$BV$128)</f>
        <v>0</v>
      </c>
      <c r="BW137" s="116">
        <f>SUMIF($E$6:$E$128,"410",$BW$6:$BW$128)</f>
        <v>333827062</v>
      </c>
      <c r="BX137" s="116">
        <f>SUMIF($E$6:$E$128,"410",$BX$6:$BX$128)</f>
        <v>0</v>
      </c>
      <c r="BY137" s="116">
        <f>SUMIF($E$6:$E$128,"410",$BY$6:$BY$128)</f>
        <v>0</v>
      </c>
      <c r="BZ137" s="116">
        <f>SUMIF($E$6:$E$128,"410",$BZ$6:$BZ$128)</f>
        <v>116902569</v>
      </c>
      <c r="CA137" s="116">
        <f>SUMIF($E$6:$E$128,"410",$CA$6:$CA$128)</f>
        <v>0</v>
      </c>
      <c r="CB137" s="116">
        <f>SUMIF($E$6:$E$128,"410",$CB$6:$CB$128)</f>
        <v>29277923</v>
      </c>
      <c r="CC137" s="116">
        <f>SUMIF($E$6:$E$128,"410",$CC$6:$CC$128)</f>
        <v>0</v>
      </c>
      <c r="CD137" s="117">
        <f>SUMIF($E$6:$E$128,"410",$CD$6:$CD$128)</f>
        <v>145096898</v>
      </c>
      <c r="CE137" s="27">
        <f t="shared" ca="1" si="113"/>
        <v>0.55515217843333597</v>
      </c>
      <c r="CF137" s="30">
        <f t="shared" si="114"/>
        <v>4239438795</v>
      </c>
      <c r="CG137" s="115">
        <f>SUMIF($E$6:$E$128,"410",$CG$6:$CG$128)</f>
        <v>0</v>
      </c>
      <c r="CH137" s="115">
        <f>SUMIF($E$6:$E$128,"410",$CH$6:$CH$128)</f>
        <v>195463801</v>
      </c>
      <c r="CI137" s="115">
        <f>SUMIF($E$6:$E$128,"410",$CI$6:$CI$128)</f>
        <v>0</v>
      </c>
      <c r="CJ137" s="115">
        <f>SUMIF($E$6:$E$128,"410",$CJ$6:$CJ$128)</f>
        <v>0</v>
      </c>
      <c r="CK137" s="115">
        <f>SUMIF($E$6:$E$128,"410",$CK$6:$CK$128)</f>
        <v>0</v>
      </c>
      <c r="CL137" s="115">
        <f>SUMIF($E$6:$E$128,"410",$CL$6:$CL$128)</f>
        <v>0</v>
      </c>
      <c r="CM137" s="115">
        <f>SUMIF($E$6:$E$128,"410",$CM$6:$CM$128)</f>
        <v>0</v>
      </c>
      <c r="CN137" s="115">
        <f>SUMIF($E$6:$E$128,"410",$CN$6:$CN$128)</f>
        <v>773259571</v>
      </c>
      <c r="CO137" s="115">
        <f>SUMIF($E$6:$E$128,"410",$CO$6:$CO$128)</f>
        <v>10324460</v>
      </c>
      <c r="CP137" s="115">
        <f>SUMIF($E$6:$E$128,"410",$CP$6:$CP$128)</f>
        <v>11708860</v>
      </c>
      <c r="CQ137" s="115">
        <f>SUMIF($E$6:$E$128,"410",$CQ$6:$CQ$128)</f>
        <v>15300150</v>
      </c>
      <c r="CR137" s="115">
        <f>SUMIF($E$6:$E$128,"410",$CR$6:$CR$128)</f>
        <v>0</v>
      </c>
      <c r="CS137" s="115">
        <f>SUMIF($E$6:$E$128,"410",$CS$6:$CS$128)</f>
        <v>0</v>
      </c>
      <c r="CT137" s="115">
        <f>SUMIF($E$6:$E$128,"410",$CT$6:$CT$128)</f>
        <v>0</v>
      </c>
      <c r="CU137" s="115">
        <f>SUMIF($E$6:$E$128,"410",$CU$6:$CU$128)</f>
        <v>0</v>
      </c>
      <c r="CV137" s="115">
        <f>SUMIF($E$6:$E$128,"410",$CV$6:$CV$128)</f>
        <v>2537150673</v>
      </c>
      <c r="CW137" s="115">
        <f>SUMIF($E$6:$E$128,"410",$CW$6:$CW$128)</f>
        <v>0</v>
      </c>
      <c r="CX137" s="115">
        <f>SUMIF($E$6:$E$128,"410",$CX$6:$CX$128)</f>
        <v>0</v>
      </c>
      <c r="CY137" s="115">
        <f>SUMIF($E$6:$E$128,"410",$CY$6:$CY$128)</f>
        <v>415281549</v>
      </c>
      <c r="CZ137" s="115">
        <f>SUMIF($E$6:$E$128,"410",$CZ$6:$CZ$128)</f>
        <v>0</v>
      </c>
      <c r="DA137" s="115">
        <f>SUMIF($E$6:$E$128,"410",$DA$6:$DA$128)</f>
        <v>162631546</v>
      </c>
      <c r="DB137" s="115">
        <f>SUMIF($E$6:$E$128,"410",$DB$6:$DB$128)</f>
        <v>0</v>
      </c>
      <c r="DC137" s="118">
        <f>SUMIF($E$6:$E$128,"410",$DC$6:$DC$128)</f>
        <v>118318185</v>
      </c>
      <c r="DD137" s="27">
        <f t="shared" ca="1" si="115"/>
        <v>0.44484782156666403</v>
      </c>
      <c r="DE137" s="30">
        <f t="shared" si="116"/>
        <v>3397095762</v>
      </c>
      <c r="DF137" s="116">
        <f>SUMIF($E$6:$E$128,"410",$DF$6:$DF$128)</f>
        <v>0</v>
      </c>
      <c r="DG137" s="116">
        <f>SUMIF($E$6:$E$128,"410",$DG$6:$DG$128)</f>
        <v>4536199</v>
      </c>
      <c r="DH137" s="116">
        <f>SUMIF($E$6:$E$128,"410",$DH$6:$DH$128)</f>
        <v>0</v>
      </c>
      <c r="DI137" s="116">
        <f>SUMIF($E$6:$E$128,"410",$DI$6:$DI$128)</f>
        <v>0</v>
      </c>
      <c r="DJ137" s="116">
        <f>SUMIF($E$6:$E$128,"410",$DJ$6:$DJ$128)</f>
        <v>0</v>
      </c>
      <c r="DK137" s="116">
        <f>SUMIF($E$6:$E$128,"410",$DK$6:$DK$128)</f>
        <v>0</v>
      </c>
      <c r="DL137" s="116">
        <f>SUMIF($E$6:$E$128,"410",$DL$6:$DL$128)</f>
        <v>0</v>
      </c>
      <c r="DM137" s="116">
        <f>SUMIF($E$6:$E$128,"410",$DM$6:$DM$128)</f>
        <v>1203493757</v>
      </c>
      <c r="DN137" s="116">
        <f>SUMIF($E$6:$E$128,"410",$DN$6:$DN$128)</f>
        <v>79675540</v>
      </c>
      <c r="DO137" s="116">
        <f>SUMIF($E$6:$E$128,"410",$DO$6:$DO$128)</f>
        <v>104291140</v>
      </c>
      <c r="DP137" s="119">
        <f>SUMIF($E$6:$E$128,"410",$DP$6:$DP$128)</f>
        <v>104834591</v>
      </c>
      <c r="DQ137" s="119">
        <f>SUMIF($E$6:$E$128,"410",$DQ$6:$DQ$128)</f>
        <v>0</v>
      </c>
      <c r="DR137" s="119">
        <f>SUMIF($E$6:$E$128,"410",$DR$6:$DR$128)</f>
        <v>0</v>
      </c>
      <c r="DS137" s="119">
        <f>SUMIF($E$6:$E$128,"410",$DS$6:$DS$128)</f>
        <v>0</v>
      </c>
      <c r="DT137" s="119">
        <f>SUMIF($E$6:$E$128,"410",$DT$6:$DT$128)</f>
        <v>0</v>
      </c>
      <c r="DU137" s="119">
        <f>SUMIF($E$6:$E$128,"410",$DU$6:$DU$128)</f>
        <v>1112849327</v>
      </c>
      <c r="DV137" s="119">
        <f>SUMIF($E$6:$E$128,"410",$DV$6:$DV$128)</f>
        <v>0</v>
      </c>
      <c r="DW137" s="119">
        <f>SUMIF($E$6:$E$128,"410",$DW$6:$DW$128)</f>
        <v>0</v>
      </c>
      <c r="DX137" s="119">
        <f>SUMIF($E$6:$E$128,"410",$DX$6:$DX$128)</f>
        <v>343385666</v>
      </c>
      <c r="DY137" s="119">
        <f>SUMIF($E$6:$E$128,"410",$DY$6:$DY$128)</f>
        <v>0</v>
      </c>
      <c r="DZ137" s="119">
        <f>SUMIF($E$6:$E$128,"410",$DZ$6:$DZ$128)</f>
        <v>157450020</v>
      </c>
      <c r="EA137" s="119">
        <f>SUMIF($E$6:$E$128,"410",$EA$6:$EA$128)</f>
        <v>0</v>
      </c>
      <c r="EB137" s="119">
        <f>SUMIF($E$6:$E$128,"410",$EB$6:$EB$128)</f>
        <v>286579522</v>
      </c>
      <c r="ED137" s="31">
        <f t="shared" ca="1" si="117"/>
        <v>7636534557</v>
      </c>
      <c r="EE137" s="31">
        <f t="shared" si="118"/>
        <v>7636534557</v>
      </c>
      <c r="EF137" s="31">
        <f t="shared" si="119"/>
        <v>7636534557</v>
      </c>
    </row>
    <row r="138" spans="1:136" ht="14.25" customHeight="1" x14ac:dyDescent="0.25">
      <c r="C138" s="122"/>
      <c r="D138" s="123" t="s">
        <v>372</v>
      </c>
      <c r="E138" s="104">
        <v>510</v>
      </c>
      <c r="F138" s="112"/>
      <c r="G138" s="113">
        <f ca="1">SUMIF($E$6:$G$129,"510",$G$6:$J$128)</f>
        <v>2293381302</v>
      </c>
      <c r="H138" s="114">
        <f ca="1">SUMIF($E$6:$H$129,"510",$H$6:$J$128)</f>
        <v>2787400000</v>
      </c>
      <c r="I138" s="114">
        <f ca="1">SUMIF($E$6:$I$129,"510",$I$6:$J$128)</f>
        <v>494018698</v>
      </c>
      <c r="J138" s="113">
        <f>SUMIF($E$6:$E$128,"510",$J$6:$J$128)</f>
        <v>0</v>
      </c>
      <c r="K138" s="113">
        <f>SUMIF($E$6:$E$129,"510",$K$6:$K$129)</f>
        <v>767521592</v>
      </c>
      <c r="L138" s="113">
        <f>SUMIF($E$6:$E$129,"510",$L$6:$L$129)</f>
        <v>0</v>
      </c>
      <c r="M138" s="113">
        <f>SUMIF($E$6:$E$129,"510",$M$6:$M$129)</f>
        <v>114000000</v>
      </c>
      <c r="N138" s="115">
        <f>SUMIF($E$6:$E$128,"510",$N$6:$N$128)</f>
        <v>0</v>
      </c>
      <c r="O138" s="112">
        <f>SUMIF($E$6:$E$128,"510",$O$6:$O$128)</f>
        <v>80000000</v>
      </c>
      <c r="P138" s="112">
        <f>SUMIF($E$6:$E$128,"510",$P$6:$P$128)</f>
        <v>0</v>
      </c>
      <c r="Q138" s="112">
        <f>SUMIF($E$6:$E$128,"510",$Q$6:$Q$128)</f>
        <v>0</v>
      </c>
      <c r="R138" s="112">
        <f>SUMIF($E$6:$E$128,"510",$R$6:$R$128)</f>
        <v>0</v>
      </c>
      <c r="S138" s="112">
        <f>SUMIF($E$6:$E$128,"510",$S$6:$S$128)</f>
        <v>0</v>
      </c>
      <c r="T138" s="112">
        <f>SUMIF($E$6:$E$128,"510",$T$6:$T$128)</f>
        <v>0</v>
      </c>
      <c r="U138" s="112">
        <f>SUMIF($E$6:$E$128,"510",$U$6:$U$128)</f>
        <v>232855217</v>
      </c>
      <c r="V138" s="112">
        <f>SUMIF($E$6:$E$128,"510",$V$6:$V$128)</f>
        <v>0</v>
      </c>
      <c r="W138" s="112">
        <f>SUMIF($E$6:$E$128,"510",$W$6:$W$128)</f>
        <v>0</v>
      </c>
      <c r="X138" s="112">
        <f>SUMIF($E$6:$E$128,"510",$X$6:$X$128)</f>
        <v>0</v>
      </c>
      <c r="Y138" s="112">
        <f>SUMIF($E$6:$E$128,"510",$Y$6:$Y$128)</f>
        <v>0</v>
      </c>
      <c r="Z138" s="112">
        <f>SUMIF($E$6:$E$128,"510",$Z$6:$Z$128)</f>
        <v>0</v>
      </c>
      <c r="AA138" s="112">
        <f>SUMIF($E$6:$E$128,"510",$AA$6:$AA$128)</f>
        <v>357629510</v>
      </c>
      <c r="AB138" s="112">
        <f>SUMIF($E$6:$E$128,"510",$AB$6:$AB$128)</f>
        <v>0</v>
      </c>
      <c r="AC138" s="112">
        <f>SUMIF($E$6:$E$128,"510",$AC$6:$AC$128)</f>
        <v>0</v>
      </c>
      <c r="AD138" s="112"/>
      <c r="AE138" s="112">
        <f>SUMIF($E$6:$E$128,"510",$AE$6:$AE$128)</f>
        <v>500133503</v>
      </c>
      <c r="AF138" s="112">
        <f>SUMIF($E$6:$E$128,"510",$AF$6:$AF$128)</f>
        <v>241241480</v>
      </c>
      <c r="AG138" s="27">
        <f t="shared" ca="1" si="110"/>
        <v>0.86965057588142836</v>
      </c>
      <c r="AH138" s="115">
        <f>SUMIF($E$6:$E$128,"510",$AH$6:$AH$128)</f>
        <v>1994440370</v>
      </c>
      <c r="AI138" s="115">
        <f>SUMIF($E$6:$E$128,"510",$AI$6:$AI$128)</f>
        <v>0</v>
      </c>
      <c r="AJ138" s="115">
        <f>SUMIF($E$6:$E$128,"510",$AJ$6:$AJ$128)</f>
        <v>625756618</v>
      </c>
      <c r="AK138" s="115">
        <f>SUMIF($E$6:$E$128,"510",$AK$6:$AK$128)</f>
        <v>0</v>
      </c>
      <c r="AL138" s="115">
        <f>SUMIF($E$6:$E$128,"510",$AL$6:$AL$128)</f>
        <v>114000000</v>
      </c>
      <c r="AM138" s="115">
        <f>SUMIF($E$6:$E$128,"510",$AM$6:$AM$128)</f>
        <v>0</v>
      </c>
      <c r="AN138" s="115">
        <f>SUMIF($E$6:$E$128,"510",$AN$6:$AN$128)</f>
        <v>80000000</v>
      </c>
      <c r="AO138" s="115">
        <f>SUMIF($E$6:$E$128,"510",$AO$6:$AO$128)</f>
        <v>0</v>
      </c>
      <c r="AP138" s="115">
        <f>SUMIF($E$6:$E$128,"510",$AP$6:$AP$128)</f>
        <v>0</v>
      </c>
      <c r="AQ138" s="115">
        <f>SUMIF($E$6:$E$128,"510",$AQ$6:$AQ$128)</f>
        <v>0</v>
      </c>
      <c r="AR138" s="115">
        <f>SUMIF($E$6:$E$128,"510",$AR$6:$AR$128)</f>
        <v>0</v>
      </c>
      <c r="AS138" s="115">
        <f>SUMIF($E$6:$E$128,"510",$AS$6:$AS$128)</f>
        <v>0</v>
      </c>
      <c r="AT138" s="115">
        <f>SUMIF($E$6:$E$128,"510",$AT$6:$AT$128)</f>
        <v>227551251</v>
      </c>
      <c r="AU138" s="115">
        <f>SUMIF($E$6:$E$128,"510",$AU$6:$AU$128)</f>
        <v>0</v>
      </c>
      <c r="AV138" s="115">
        <f>SUMIF($E$6:$E$128,"510",$AV$6:$AV$128)</f>
        <v>0</v>
      </c>
      <c r="AW138" s="115">
        <f>SUMIF($E$6:$E$128,"510",$AW$6:$AW$128)</f>
        <v>0</v>
      </c>
      <c r="AX138" s="115">
        <f>SUMIF($E$6:$E$128,"510",$AX$6:$AX$128)</f>
        <v>0</v>
      </c>
      <c r="AY138" s="115">
        <f>SUMIF($E$6:$E$128,"510",$AY$6:$AY$128)</f>
        <v>0</v>
      </c>
      <c r="AZ138" s="115">
        <f>SUMIF($E$6:$E$128,"510",$AZ$6:$AZ$128)</f>
        <v>308944538</v>
      </c>
      <c r="BA138" s="115">
        <f>SUMIF($E$6:$E$128,"510",$BA$6:$BA$128)</f>
        <v>0</v>
      </c>
      <c r="BB138" s="115">
        <f>SUMIF($E$6:$E$128,"510",$BB$6:$BB$128)</f>
        <v>0</v>
      </c>
      <c r="BC138" s="115">
        <f>SUMIF($E$6:$E$128," 510",$BC$6:$BC$128)</f>
        <v>0</v>
      </c>
      <c r="BD138" s="115">
        <f>SUMIF($E$6:$E$128,"510",$BD$6:$BD$128)</f>
        <v>452500000</v>
      </c>
      <c r="BE138" s="115">
        <f>SUMIF($E$6:$E$128,"510",$BE$6:$BE$128)</f>
        <v>185687963</v>
      </c>
      <c r="BF138" s="97">
        <f t="shared" ca="1" si="111"/>
        <v>0.13034942411857164</v>
      </c>
      <c r="BG138" s="30">
        <f t="shared" si="112"/>
        <v>298940932</v>
      </c>
      <c r="BH138" s="116">
        <f>SUMIF($E$6:$E$128,"510",$BH$6:$BH$128)</f>
        <v>0</v>
      </c>
      <c r="BI138" s="116">
        <f>SUMIF($E$6:$E$128,"510",$BI$6:$BI$128)</f>
        <v>141764974</v>
      </c>
      <c r="BJ138" s="116">
        <f>SUMIF($E$6:$E$128,"510",$BJ$6:$BJ$128)</f>
        <v>0</v>
      </c>
      <c r="BK138" s="116">
        <f>SUMIF($E$6:$E$128,"510",$BK$6:$BK$128)</f>
        <v>0</v>
      </c>
      <c r="BL138" s="116">
        <f>SUMIF($E$6:$E$128,"510",$BL$6:$BL$128)</f>
        <v>0</v>
      </c>
      <c r="BM138" s="116">
        <f>SUMIF($E$6:$E$128,"510",$BM$6:$BM$128)</f>
        <v>0</v>
      </c>
      <c r="BN138" s="116">
        <f>SUMIF($E$6:$E$128,"510",$BN$6:$BN$128)</f>
        <v>0</v>
      </c>
      <c r="BO138" s="116">
        <f>SUMIF($E$6:$E$128,"510",$BO$6:$BO$128)</f>
        <v>0</v>
      </c>
      <c r="BP138" s="116">
        <f>SUMIF($E$6:$E$128,"510",$BP$6:$BP$128)</f>
        <v>0</v>
      </c>
      <c r="BQ138" s="116">
        <f>SUMIF($E$6:$E$128,"510",$BQ$6:$BQ$128)</f>
        <v>0</v>
      </c>
      <c r="BR138" s="116">
        <f>SUMIF($E$6:$E$128,"510",$BR$6:$BR$128)</f>
        <v>0</v>
      </c>
      <c r="BS138" s="116">
        <f>SUMIF($E$6:$E$128,"510",$BS$6:$BS$128)</f>
        <v>5303966</v>
      </c>
      <c r="BT138" s="116">
        <f>SUMIF($E$6:$E$128,"510",$BT$6:$BT$128)</f>
        <v>0</v>
      </c>
      <c r="BU138" s="116">
        <f>SUMIF($E$6:$E$128,"510",$BU$6:$BU$128)</f>
        <v>0</v>
      </c>
      <c r="BV138" s="116">
        <f>SUMIF($E$6:$E$128,"510",$BV$6:$BV$128)</f>
        <v>0</v>
      </c>
      <c r="BW138" s="116">
        <f>SUMIF($E$6:$E$128,"510",$BW$6:$BW$128)</f>
        <v>0</v>
      </c>
      <c r="BX138" s="116">
        <f>SUMIF($E$6:$E$128,"510",$BX$6:$BX$128)</f>
        <v>0</v>
      </c>
      <c r="BY138" s="116">
        <f>SUMIF($E$6:$E$128,"510",$BY$6:$BY$128)</f>
        <v>48684972</v>
      </c>
      <c r="BZ138" s="116">
        <f>SUMIF($E$6:$E$128,"510",$BZ$6:$BZ$128)</f>
        <v>0</v>
      </c>
      <c r="CA138" s="116">
        <f>SUMIF($E$6:$E$128,"510",$CA$6:$CA$128)</f>
        <v>0</v>
      </c>
      <c r="CB138" s="116">
        <f>SUMIF($E$6:$E$128,"510",$CB$6:$CB$128)</f>
        <v>0</v>
      </c>
      <c r="CC138" s="116">
        <f>SUMIF($E$6:$E$128,"510",$CC$6:$CC$128)</f>
        <v>47633503</v>
      </c>
      <c r="CD138" s="117">
        <f>SUMIF($E$6:$E$128,"510",$CD$6:$CD$128)</f>
        <v>55553517</v>
      </c>
      <c r="CE138" s="27">
        <f t="shared" ca="1" si="113"/>
        <v>0.56703123848874915</v>
      </c>
      <c r="CF138" s="30">
        <f t="shared" si="114"/>
        <v>1300418840</v>
      </c>
      <c r="CG138" s="115">
        <f>SUMIF($E$6:$E$128,"510",$CG$6:$CG$128)</f>
        <v>0</v>
      </c>
      <c r="CH138" s="115">
        <f>SUMIF($E$6:$E$128,"510",$CH$6:$CH$128)</f>
        <v>558221690</v>
      </c>
      <c r="CI138" s="115">
        <f>SUMIF($E$6:$E$128,"510",$CI$6:$CI$128)</f>
        <v>0</v>
      </c>
      <c r="CJ138" s="115">
        <f>SUMIF($E$6:$E$128,"510",$CJ$6:$CJ$128)</f>
        <v>0</v>
      </c>
      <c r="CK138" s="115">
        <f>SUMIF($E$6:$E$128,"510",$CK$6:$CK$128)</f>
        <v>0</v>
      </c>
      <c r="CL138" s="115">
        <f>SUMIF($E$6:$E$128,"510",$CL$6:$CL$128)</f>
        <v>79716667</v>
      </c>
      <c r="CM138" s="115">
        <f>SUMIF($E$6:$E$128,"510",$CM$6:$CM$128)</f>
        <v>0</v>
      </c>
      <c r="CN138" s="115">
        <f>SUMIF($E$6:$E$128,"510",$CN$6:$CN$128)</f>
        <v>0</v>
      </c>
      <c r="CO138" s="115">
        <f>SUMIF($E$6:$E$128,"510",$CO$6:$CO$128)</f>
        <v>0</v>
      </c>
      <c r="CP138" s="115">
        <f>SUMIF($E$6:$E$128,"510",$CP$6:$CP$128)</f>
        <v>0</v>
      </c>
      <c r="CQ138" s="115">
        <f>SUMIF($E$6:$E$128,"510",$CQ$6:$CQ$128)</f>
        <v>0</v>
      </c>
      <c r="CR138" s="115">
        <f>SUMIF($E$6:$E$128,"510",$CR$6:$CR$128)</f>
        <v>210994997</v>
      </c>
      <c r="CS138" s="115">
        <f>SUMIF($E$6:$E$128,"510",$CS$6:$CS$128)</f>
        <v>0</v>
      </c>
      <c r="CT138" s="115">
        <f>SUMIF($E$6:$E$128,"510",$CT$6:$CT$128)</f>
        <v>0</v>
      </c>
      <c r="CU138" s="115">
        <f>SUMIF($E$6:$E$128,"510",$CU$6:$CU$128)</f>
        <v>0</v>
      </c>
      <c r="CV138" s="115">
        <f>SUMIF($E$6:$E$128,"510",$CV$6:$CV$128)</f>
        <v>0</v>
      </c>
      <c r="CW138" s="115">
        <f>SUMIF($E$6:$E$128,"510",$CW$6:$CW$128)</f>
        <v>0</v>
      </c>
      <c r="CX138" s="115">
        <f>SUMIF($E$6:$E$128,"510",$CX$6:$CX$128)</f>
        <v>283273333</v>
      </c>
      <c r="CY138" s="115">
        <f>SUMIF($E$6:$E$128,"510",$CY$6:$CY$128)</f>
        <v>0</v>
      </c>
      <c r="CZ138" s="115">
        <f>SUMIF($E$6:$E$128,"510",$CZ$6:$CZ$128)</f>
        <v>0</v>
      </c>
      <c r="DA138" s="115">
        <f>SUMIF($E$6:$E$128,"510",$DA$6:$DA$128)</f>
        <v>0</v>
      </c>
      <c r="DB138" s="115">
        <f>SUMIF($E$6:$E$128,"510",$DB$6:$DB$128)</f>
        <v>56673333</v>
      </c>
      <c r="DC138" s="118">
        <f>SUMIF($E$6:$E$128,"510",$DC$6:$DC$128)</f>
        <v>111538820</v>
      </c>
      <c r="DD138" s="27">
        <f t="shared" ca="1" si="115"/>
        <v>0.43296876151125085</v>
      </c>
      <c r="DE138" s="30">
        <f t="shared" si="116"/>
        <v>992962462</v>
      </c>
      <c r="DF138" s="116">
        <f>SUMIF($E$6:$E$128,"510",$DF$6:$DF$128)</f>
        <v>0</v>
      </c>
      <c r="DG138" s="116">
        <f>SUMIF($E$6:$E$128,"510",$DG$6:$DG$128)</f>
        <v>209299902</v>
      </c>
      <c r="DH138" s="116">
        <f>SUMIF($E$6:$E$128,"510",$DH$6:$DH$128)</f>
        <v>0</v>
      </c>
      <c r="DI138" s="116">
        <f>SUMIF($E$6:$E$128,"510",$DI$6:$DI$128)</f>
        <v>114000000</v>
      </c>
      <c r="DJ138" s="116">
        <f>SUMIF($E$6:$E$128,"510",$DJ$6:$DJ$128)</f>
        <v>0</v>
      </c>
      <c r="DK138" s="116">
        <f>SUMIF($E$6:$E$128,"510",$DK$6:$DK$128)</f>
        <v>283333</v>
      </c>
      <c r="DL138" s="116">
        <f>SUMIF($E$6:$E$128,"510",$DL$6:$DL$128)</f>
        <v>0</v>
      </c>
      <c r="DM138" s="116">
        <f>SUMIF($E$6:$E$128,"510",$DM$6:$DM$128)</f>
        <v>0</v>
      </c>
      <c r="DN138" s="116">
        <f>SUMIF($E$6:$E$128,"510",$DN$6:$DN$128)</f>
        <v>0</v>
      </c>
      <c r="DO138" s="116">
        <f>SUMIF($E$6:$E$128,"510",$DO$6:$DO$128)</f>
        <v>0</v>
      </c>
      <c r="DP138" s="119">
        <f>SUMIF($E$6:$E$128,"510",$DP$6:$DP$128)</f>
        <v>0</v>
      </c>
      <c r="DQ138" s="119">
        <f>SUMIF($E$6:$E$128,"510",$DQ$6:$DQ$128)</f>
        <v>21860220</v>
      </c>
      <c r="DR138" s="119">
        <f>SUMIF($E$6:$E$128,"510",$DR$6:$DR$128)</f>
        <v>0</v>
      </c>
      <c r="DS138" s="119">
        <f>SUMIF($E$6:$E$128,"510",$DS$6:$DS$128)</f>
        <v>0</v>
      </c>
      <c r="DT138" s="119">
        <f>SUMIF($E$6:$E$128,"510",$DT$6:$DT$128)</f>
        <v>0</v>
      </c>
      <c r="DU138" s="119">
        <f>SUMIF($E$6:$E$128,"510",$DU$6:$DU$128)</f>
        <v>0</v>
      </c>
      <c r="DV138" s="119">
        <f>SUMIF($E$6:$E$128,"510",$DV$6:$DV$128)</f>
        <v>0</v>
      </c>
      <c r="DW138" s="119">
        <f>SUMIF($E$6:$E$128,"510",$DW$6:$DW$128)</f>
        <v>74356177</v>
      </c>
      <c r="DX138" s="119">
        <f>SUMIF($E$6:$E$128,"510",$DX$6:$DX$128)</f>
        <v>0</v>
      </c>
      <c r="DY138" s="119">
        <f>SUMIF($E$6:$E$128,"510",$DY$6:$DY$128)</f>
        <v>0</v>
      </c>
      <c r="DZ138" s="119">
        <f>SUMIF($E$6:$E$128,"510",$DZ$6:$DZ$128)</f>
        <v>0</v>
      </c>
      <c r="EA138" s="119">
        <f>SUMIF($E$6:$E$128,"510",$EA$6:$EA$128)</f>
        <v>443460170</v>
      </c>
      <c r="EB138" s="119">
        <f>SUMIF($E$6:$E$128,"510",$EB$6:$EB$128)</f>
        <v>129702660</v>
      </c>
      <c r="ED138" s="31">
        <f t="shared" ca="1" si="117"/>
        <v>2293381302</v>
      </c>
      <c r="EE138" s="31">
        <f t="shared" si="118"/>
        <v>2293381302</v>
      </c>
      <c r="EF138" s="31">
        <f t="shared" si="119"/>
        <v>2293381302</v>
      </c>
    </row>
    <row r="139" spans="1:136" x14ac:dyDescent="0.25">
      <c r="C139" s="122"/>
      <c r="D139" s="111" t="s">
        <v>373</v>
      </c>
      <c r="E139" s="104">
        <v>520</v>
      </c>
      <c r="F139" s="112"/>
      <c r="G139" s="113">
        <f ca="1">SUMIF($E$6:$G$129,"520",$G$6:$J$128)</f>
        <v>4184492718</v>
      </c>
      <c r="H139" s="114">
        <f ca="1">SUMIF($E$6:$H$129,"520",$H$6:$J$128)</f>
        <v>6638028500</v>
      </c>
      <c r="I139" s="114">
        <f ca="1">SUMIF($E$6:$I$129,"520",$I$6:$J$128)</f>
        <v>2453535782</v>
      </c>
      <c r="J139" s="113">
        <f>SUMIF($E$6:$E$128,"520",$J$6:$J$128)</f>
        <v>0</v>
      </c>
      <c r="K139" s="113">
        <f>SUMIF($E$6:$E$128,"520",$K$6:$K$128)</f>
        <v>1164848967</v>
      </c>
      <c r="L139" s="113">
        <f>SUMIF($E$6:$E$129,"520",$L$6:$L$129)</f>
        <v>0</v>
      </c>
      <c r="M139" s="113">
        <f>SUMIF($E$6:$E$129,"520",$M$6:$M$129)</f>
        <v>0</v>
      </c>
      <c r="N139" s="115">
        <f>SUMIF($E$6:$E$128,"520",$N$6:$N$128)</f>
        <v>0</v>
      </c>
      <c r="O139" s="112">
        <f>SUMIF($E$6:$E$128,"520",$O$6:$O$128)</f>
        <v>0</v>
      </c>
      <c r="P139" s="112">
        <f>SUMIF($E$6:$E$128,"520",$P$6:$P$128)</f>
        <v>0</v>
      </c>
      <c r="Q139" s="112">
        <f>SUMIF($E$6:$E$128,"520",$Q$6:$Q$128)</f>
        <v>0</v>
      </c>
      <c r="R139" s="112">
        <f>SUMIF($E$6:$E$128,"520",$R$6:$R$128)</f>
        <v>0</v>
      </c>
      <c r="S139" s="112">
        <f>SUMIF($E$6:$E$128,"520",$S$6:$S$128)</f>
        <v>0</v>
      </c>
      <c r="T139" s="112">
        <f>SUMIF($E$6:$E$128,"520",$T$6:$T$128)</f>
        <v>0</v>
      </c>
      <c r="U139" s="112">
        <f>SUMIF($E$6:$E$128,"520",$U$6:$U$128)</f>
        <v>0</v>
      </c>
      <c r="V139" s="112">
        <f>SUMIF($E$6:$E$128,"520",$V$6:$V$128)</f>
        <v>0</v>
      </c>
      <c r="W139" s="112">
        <f>SUMIF($E$6:$E$128,"520",$W$6:$W$128)</f>
        <v>0</v>
      </c>
      <c r="X139" s="112">
        <f>SUMIF($E$6:$E$128,"520",$X$6:$X$128)</f>
        <v>0</v>
      </c>
      <c r="Y139" s="112">
        <f>SUMIF($E$6:$E$128,"520",$Y$6:$Y$128)</f>
        <v>1500000000</v>
      </c>
      <c r="Z139" s="112">
        <f>SUMIF($E$6:$E$128,"520",$Z$6:$Z$128)</f>
        <v>0</v>
      </c>
      <c r="AA139" s="112">
        <f>SUMIF($E$6:$E$128,"520",$AA$6:$AA$128)</f>
        <v>369395921</v>
      </c>
      <c r="AB139" s="112">
        <f>SUMIF($E$6:$E$128,"520",$AB$6:$AB$128)</f>
        <v>283957637</v>
      </c>
      <c r="AC139" s="112">
        <f>SUMIF($E$6:$E$105,"520",$AC$6:$AC$105)</f>
        <v>0</v>
      </c>
      <c r="AD139" s="112"/>
      <c r="AE139" s="112">
        <f>SUMIF($E$6:$E$128,"520",$AE$6:$AE$128)</f>
        <v>0</v>
      </c>
      <c r="AF139" s="112">
        <f>SUMIF($E$6:$E$128,"520",$AF$6:$AF$128)</f>
        <v>866290193</v>
      </c>
      <c r="AG139" s="27">
        <f t="shared" ca="1" si="110"/>
        <v>0.68401742287367029</v>
      </c>
      <c r="AH139" s="115">
        <f>SUMIF($E$6:$E$128,"520",$AH$6:$AH$128)</f>
        <v>2862265925</v>
      </c>
      <c r="AI139" s="115">
        <f>SUMIF($E$6:$E$128,"520",$AI$6:$AI$128)</f>
        <v>0</v>
      </c>
      <c r="AJ139" s="115">
        <f>SUMIF($E$6:$E$128,"520",$AJ$6:$AJ$128)</f>
        <v>1090039942</v>
      </c>
      <c r="AK139" s="115">
        <f>SUMIF($E$6:$E$128,"520",$AK$6:$AK$128)</f>
        <v>0</v>
      </c>
      <c r="AL139" s="115">
        <f>SUMIF($E$6:$E$128,"520",$AL$6:$AL$128)</f>
        <v>0</v>
      </c>
      <c r="AM139" s="115">
        <f>SUMIF($E$6:$E$128,"520",$AM$6:$AM$128)</f>
        <v>0</v>
      </c>
      <c r="AN139" s="115">
        <f>SUMIF($E$6:$E$128,"520",$AN$6:$AN$128)</f>
        <v>0</v>
      </c>
      <c r="AO139" s="115">
        <f>SUMIF($E$6:$E$128,"520",$AO$6:$AO$128)</f>
        <v>0</v>
      </c>
      <c r="AP139" s="115">
        <f>SUMIF($E$6:$E$128,"520",$AP$6:$AP$128)</f>
        <v>0</v>
      </c>
      <c r="AQ139" s="115">
        <f>SUMIF($E$6:$E$128,"520",$AQ$6:$AQ$128)</f>
        <v>0</v>
      </c>
      <c r="AR139" s="115">
        <f>SUMIF($E$6:$E$128,"520",$AR$6:$AR$128)</f>
        <v>0</v>
      </c>
      <c r="AS139" s="115">
        <f>SUMIF($E$6:$E$128,"520",$AS$6:$AS$128)</f>
        <v>0</v>
      </c>
      <c r="AT139" s="115">
        <f>SUMIF($E$6:$E$128,"520",$AT$6:$AT$128)</f>
        <v>0</v>
      </c>
      <c r="AU139" s="115">
        <f>SUMIF($E$6:$E$128,"520",$AU$6:$AU$128)</f>
        <v>0</v>
      </c>
      <c r="AV139" s="115">
        <f>SUMIF($E$6:$E$128,"520",$AV$6:$AV$128)</f>
        <v>0</v>
      </c>
      <c r="AW139" s="115">
        <f>SUMIF($E$6:$E$128,"520",$AW$6:$AW$128)</f>
        <v>0</v>
      </c>
      <c r="AX139" s="115">
        <f>SUMIF($E$6:$E$128,"520",$AX$6:$AX$128)</f>
        <v>405014429</v>
      </c>
      <c r="AY139" s="115">
        <f>SUMIF($E$6:$E$128,"520",$AY$6:$AY$128)</f>
        <v>0</v>
      </c>
      <c r="AZ139" s="115">
        <f>SUMIF($E$6:$E$128,"520",$AZ$6:$AZ$128)</f>
        <v>342471444</v>
      </c>
      <c r="BA139" s="115">
        <f>SUMIF($E$6:$E$128,"520",$BA$6:$BA$128)</f>
        <v>277047545</v>
      </c>
      <c r="BB139" s="115">
        <f>SUMIF($E$6:$E$128,"520",$BB$6:$BB$128)</f>
        <v>0</v>
      </c>
      <c r="BC139" s="115">
        <f>SUMIF($E$6:$E$128,"520",$BC$6:$BC$128)</f>
        <v>0</v>
      </c>
      <c r="BD139" s="115">
        <f>SUMIF($E$6:$E$128,"520",$BD$6:$BD$128)</f>
        <v>0</v>
      </c>
      <c r="BE139" s="115">
        <f>SUMIF($E$6:$E$128,"520",$BE$6:$BE$128)</f>
        <v>747692565</v>
      </c>
      <c r="BF139" s="97">
        <f t="shared" ca="1" si="111"/>
        <v>0.31598257712632971</v>
      </c>
      <c r="BG139" s="30">
        <f t="shared" si="112"/>
        <v>1322226793</v>
      </c>
      <c r="BH139" s="116">
        <f>SUMIF($E$6:$E$128,"520",$BH$6:$BH$128)</f>
        <v>0</v>
      </c>
      <c r="BI139" s="116">
        <f>SUMIF($E$6:$E$128,"520",$BI$6:$BI$128)</f>
        <v>74809025</v>
      </c>
      <c r="BJ139" s="116">
        <f>SUMIF($E$6:$E$128,"520",$BJ$6:$BJ$128)</f>
        <v>0</v>
      </c>
      <c r="BK139" s="116">
        <f>SUMIF($E$6:$E$128,"520",$BK$6:$BK$128)</f>
        <v>0</v>
      </c>
      <c r="BL139" s="116">
        <f>SUMIF($E$6:$E$128,"520",$BL$6:$BL$128)</f>
        <v>0</v>
      </c>
      <c r="BM139" s="116">
        <f>SUMIF($E$6:$E$128,"520",$BM$6:$BM$128)</f>
        <v>0</v>
      </c>
      <c r="BN139" s="116">
        <f>SUMIF($E$6:$E$128,"520",$BN$6:$BN$128)</f>
        <v>0</v>
      </c>
      <c r="BO139" s="116">
        <f>SUMIF($E$6:$E$128,"520",$BO$6:$BO$128)</f>
        <v>0</v>
      </c>
      <c r="BP139" s="116">
        <f>SUMIF($E$6:$E$128,"520",$BP$6:$BP$128)</f>
        <v>0</v>
      </c>
      <c r="BQ139" s="116">
        <f>SUMIF($E$6:$E$128,"520",$BQ$6:$BQ$128)</f>
        <v>0</v>
      </c>
      <c r="BR139" s="116">
        <f>SUMIF($E$6:$E$128,"520",$BR$6:$BR$128)</f>
        <v>0</v>
      </c>
      <c r="BS139" s="116">
        <f>SUMIF($E$6:$E$128,"520",$BS$6:$BS$128)</f>
        <v>0</v>
      </c>
      <c r="BT139" s="116">
        <f>SUMIF($E$6:$E$128,"520",$BT$6:$BT$128)</f>
        <v>0</v>
      </c>
      <c r="BU139" s="116">
        <f>SUMIF($E$6:$E$128,"520",$BU$6:$BU$128)</f>
        <v>0</v>
      </c>
      <c r="BV139" s="116">
        <f>SUMIF($E$6:$E$128,"520",$BV$6:$BV$128)</f>
        <v>0</v>
      </c>
      <c r="BW139" s="116">
        <f>SUMIF($E$6:$E$128,"520",$BW$6:$BW$128)</f>
        <v>1094985571</v>
      </c>
      <c r="BX139" s="116">
        <f>SUMIF($E$6:$E$128,"520",$BX$6:$BX$128)</f>
        <v>0</v>
      </c>
      <c r="BY139" s="116">
        <f>SUMIF($E$6:$E$128,"520",$BY$6:$BY$128)</f>
        <v>26924477</v>
      </c>
      <c r="BZ139" s="116">
        <f>SUMIF($E$6:$E$128,"520",$BZ$6:$BZ$128)</f>
        <v>6910092</v>
      </c>
      <c r="CA139" s="116">
        <f>SUMIF($E$6:$E$128,"520",$CA$6:$CA$128)</f>
        <v>0</v>
      </c>
      <c r="CB139" s="116">
        <f>SUMIF($E$6:$E$128,"520",$CB$6:$CB$128)</f>
        <v>0</v>
      </c>
      <c r="CC139" s="116">
        <f>SUMIF($E$6:$E$128,"520",$CC$6:$CC$128)</f>
        <v>0</v>
      </c>
      <c r="CD139" s="117">
        <f>SUMIF($E$6:$E$128,"520",$CD$6:$CD$128)</f>
        <v>118597628</v>
      </c>
      <c r="CE139" s="27">
        <f t="shared" ca="1" si="113"/>
        <v>0.50298706099934953</v>
      </c>
      <c r="CF139" s="30">
        <f t="shared" si="114"/>
        <v>2104745694</v>
      </c>
      <c r="CG139" s="115">
        <f>SUMIF($E$6:$E$128,"520",$CG$6:$CG$128)</f>
        <v>0</v>
      </c>
      <c r="CH139" s="115">
        <f>SUMIF($E$6:$E$128,"520",$CH$6:$CH$128)</f>
        <v>925327729</v>
      </c>
      <c r="CI139" s="115">
        <f>SUMIF($E$6:$E$128,"520",$CI$6:$CI$128)</f>
        <v>0</v>
      </c>
      <c r="CJ139" s="115">
        <f>SUMIF($E$6:$E$128,"520",$CJ$6:$CJ$128)</f>
        <v>0</v>
      </c>
      <c r="CK139" s="115">
        <f>SUMIF($E$6:$E$128,"520",$CK$6:$CK$128)</f>
        <v>0</v>
      </c>
      <c r="CL139" s="115">
        <f>SUMIF($E$6:$E$128,"520",$CL$6:$CL$128)</f>
        <v>0</v>
      </c>
      <c r="CM139" s="115">
        <f>SUMIF($E$6:$E$128,"520",$CM$6:$CM$128)</f>
        <v>0</v>
      </c>
      <c r="CN139" s="115">
        <f>SUMIF($E$6:$E$128,"520",$CN$6:$CN$128)</f>
        <v>0</v>
      </c>
      <c r="CO139" s="115">
        <f>SUMIF($E$6:$E$128,"520",$CO$6:$CO$128)</f>
        <v>0</v>
      </c>
      <c r="CP139" s="115">
        <f>SUMIF($E$6:$E$128,"520",$CP$6:$CP$128)</f>
        <v>0</v>
      </c>
      <c r="CQ139" s="115">
        <f>SUMIF($E$6:$E$128,"520",$CQ$6:$CQ$128)</f>
        <v>0</v>
      </c>
      <c r="CR139" s="115">
        <f>SUMIF($E$6:$E$128,"520",$CR$6:$CR$128)</f>
        <v>0</v>
      </c>
      <c r="CS139" s="115">
        <f>SUMIF($E$6:$E$128,"520",$CS$6:$CS$128)</f>
        <v>0</v>
      </c>
      <c r="CT139" s="115">
        <f>SUMIF($E$6:$E$128,"520",$CT$6:$CT$128)</f>
        <v>0</v>
      </c>
      <c r="CU139" s="115">
        <f>SUMIF($E$6:$E$128,"520",$CU$6:$CU$128)</f>
        <v>0</v>
      </c>
      <c r="CV139" s="115">
        <f>SUMIF($E$6:$E$128,"520",$CV$6:$CV$128)</f>
        <v>183323761</v>
      </c>
      <c r="CW139" s="115">
        <f>SUMIF($E$6:$E$128,"520",$CW$6:$CW$128)</f>
        <v>0</v>
      </c>
      <c r="CX139" s="115">
        <f>SUMIF($E$6:$E$128,"520",$CX$6:$CX$128)</f>
        <v>217430765</v>
      </c>
      <c r="CY139" s="115">
        <f>SUMIF($E$6:$E$128,"520",$CY$6:$CY$128)</f>
        <v>171636319</v>
      </c>
      <c r="CZ139" s="115">
        <f>SUMIF($E$6:$E$128,"520",$CZ$6:$CZ$128)</f>
        <v>0</v>
      </c>
      <c r="DA139" s="115">
        <f>SUMIF($E$6:$E$128,"520",$DA$6:$DA$128)</f>
        <v>0</v>
      </c>
      <c r="DB139" s="115">
        <f>SUMIF($E$6:$E$128,"520",$DB$6:$DB$128)</f>
        <v>0</v>
      </c>
      <c r="DC139" s="118">
        <f>SUMIF($E$6:$E$128,"520",$DC$6:$DC$128)</f>
        <v>607027120</v>
      </c>
      <c r="DD139" s="27">
        <f t="shared" ca="1" si="115"/>
        <v>0.49701293900065047</v>
      </c>
      <c r="DE139" s="30">
        <f t="shared" si="116"/>
        <v>2079747024</v>
      </c>
      <c r="DF139" s="116">
        <f>SUMIF($E$6:$E$128,"520",$DF$6:$DF$128)</f>
        <v>0</v>
      </c>
      <c r="DG139" s="116">
        <f>SUMIF($E$6:$E$128,"520",$DG$6:$DG$128)</f>
        <v>239521238</v>
      </c>
      <c r="DH139" s="116">
        <f>SUMIF($E$6:$E$128,"520",$DH$6:$DH$128)</f>
        <v>0</v>
      </c>
      <c r="DI139" s="116">
        <f>SUMIF($E$6:$E$128,"520",$DI$6:$DI$128)</f>
        <v>0</v>
      </c>
      <c r="DJ139" s="116">
        <f>SUMIF($E$6:$E$128,"520",$DJ$6:$DJ$128)</f>
        <v>0</v>
      </c>
      <c r="DK139" s="116">
        <f>SUMIF($E$6:$E$128,"520",$DK$6:$DK$128)</f>
        <v>0</v>
      </c>
      <c r="DL139" s="116">
        <f>SUMIF($E$6:$E$128,"520",$DL$6:$DL$128)</f>
        <v>0</v>
      </c>
      <c r="DM139" s="116">
        <f>SUMIF($E$6:$E$128,"520",$DM$6:$DM$128)</f>
        <v>0</v>
      </c>
      <c r="DN139" s="116">
        <f>SUMIF($E$6:$E$128,"520",$DN$6:$DN$128)</f>
        <v>0</v>
      </c>
      <c r="DO139" s="116">
        <f>SUMIF($E$6:$E$128,"520",$DO$6:$DO$128)</f>
        <v>0</v>
      </c>
      <c r="DP139" s="119">
        <f>SUMIF($E$6:$E$128,"520",$DP$6:$DP$128)</f>
        <v>0</v>
      </c>
      <c r="DQ139" s="119">
        <f>SUMIF($E$6:$E$128,"520",$DQ$6:$DQ$128)</f>
        <v>0</v>
      </c>
      <c r="DR139" s="119">
        <f>SUMIF($E$6:$E$128,"520",$DR$6:$DR$128)</f>
        <v>0</v>
      </c>
      <c r="DS139" s="119">
        <f>SUMIF($E$6:$E$128,"520",$DS$6:$DS$128)</f>
        <v>0</v>
      </c>
      <c r="DT139" s="119">
        <f>SUMIF($E$6:$E$128,"520",$DT$6:$DT$128)</f>
        <v>0</v>
      </c>
      <c r="DU139" s="119">
        <f>SUMIF($E$6:$E$128,"520",$DU$6:$DU$128)</f>
        <v>1316676239</v>
      </c>
      <c r="DV139" s="119">
        <f>SUMIF($E$6:$E$128,"520",$DV$6:$DV$128)</f>
        <v>0</v>
      </c>
      <c r="DW139" s="119">
        <f>SUMIF($E$6:$E$128,"520",$DW$6:$DW$128)</f>
        <v>151965156</v>
      </c>
      <c r="DX139" s="119">
        <f>SUMIF($E$6:$E$128,"520",$DX$6:$DX$128)</f>
        <v>112321318</v>
      </c>
      <c r="DY139" s="119">
        <f>SUMIF($E$6:$E$128,"520",$DY$6:$DY$128)</f>
        <v>0</v>
      </c>
      <c r="DZ139" s="119">
        <f>SUMIF($E$6:$E$128,"520",$DZ$6:$DZ$128)</f>
        <v>0</v>
      </c>
      <c r="EA139" s="119">
        <f>SUMIF($E$6:$E$128,"520",$EA$6:$EA$128)</f>
        <v>0</v>
      </c>
      <c r="EB139" s="119">
        <f>SUMIF($E$6:$E$128,"520",$EB$6:$EB$128)</f>
        <v>259263073</v>
      </c>
      <c r="ED139" s="31">
        <f t="shared" ca="1" si="117"/>
        <v>4184492718</v>
      </c>
      <c r="EE139" s="31">
        <f t="shared" si="118"/>
        <v>4184492718</v>
      </c>
      <c r="EF139" s="31">
        <f t="shared" si="119"/>
        <v>4184492718</v>
      </c>
    </row>
    <row r="140" spans="1:136" ht="15.75" thickBot="1" x14ac:dyDescent="0.3">
      <c r="C140" s="250" t="s">
        <v>374</v>
      </c>
      <c r="D140" s="251"/>
      <c r="E140" s="124"/>
      <c r="F140" s="125"/>
      <c r="G140" s="126">
        <f t="shared" ref="G140:AF140" ca="1" si="120">SUM(G133:G139)</f>
        <v>36582784878</v>
      </c>
      <c r="H140" s="127">
        <f t="shared" ca="1" si="120"/>
        <v>45545351400.672722</v>
      </c>
      <c r="I140" s="127">
        <f t="shared" ca="1" si="120"/>
        <v>8962566522.67272</v>
      </c>
      <c r="J140" s="126">
        <f t="shared" si="120"/>
        <v>1296139287</v>
      </c>
      <c r="K140" s="126">
        <f t="shared" si="120"/>
        <v>3070370559</v>
      </c>
      <c r="L140" s="126">
        <f t="shared" si="120"/>
        <v>29883260</v>
      </c>
      <c r="M140" s="126">
        <f t="shared" si="120"/>
        <v>376904086</v>
      </c>
      <c r="N140" s="126">
        <f t="shared" si="120"/>
        <v>10500000000</v>
      </c>
      <c r="O140" s="126">
        <f t="shared" si="120"/>
        <v>160000000</v>
      </c>
      <c r="P140" s="126">
        <f t="shared" si="120"/>
        <v>265157791</v>
      </c>
      <c r="Q140" s="126">
        <f t="shared" si="120"/>
        <v>2176724769</v>
      </c>
      <c r="R140" s="126">
        <f t="shared" si="120"/>
        <v>515598133</v>
      </c>
      <c r="S140" s="126">
        <f t="shared" si="120"/>
        <v>387702575</v>
      </c>
      <c r="T140" s="126">
        <f t="shared" si="120"/>
        <v>390301410</v>
      </c>
      <c r="U140" s="128">
        <f t="shared" si="120"/>
        <v>846056019</v>
      </c>
      <c r="V140" s="128">
        <f t="shared" si="120"/>
        <v>101231112</v>
      </c>
      <c r="W140" s="126">
        <f t="shared" si="120"/>
        <v>459603682</v>
      </c>
      <c r="X140" s="128">
        <f t="shared" si="120"/>
        <v>183785326</v>
      </c>
      <c r="Y140" s="126">
        <f t="shared" si="120"/>
        <v>5263002893</v>
      </c>
      <c r="Z140" s="126">
        <f t="shared" si="120"/>
        <v>1195065295</v>
      </c>
      <c r="AA140" s="126">
        <f t="shared" si="120"/>
        <v>2444583525</v>
      </c>
      <c r="AB140" s="126">
        <f t="shared" si="120"/>
        <v>1510249154</v>
      </c>
      <c r="AC140" s="126">
        <f t="shared" si="120"/>
        <v>1828902165</v>
      </c>
      <c r="AD140" s="126">
        <f t="shared" si="120"/>
        <v>320081566</v>
      </c>
      <c r="AE140" s="126">
        <f t="shared" si="120"/>
        <v>698746490</v>
      </c>
      <c r="AF140" s="126">
        <f t="shared" si="120"/>
        <v>2562695781</v>
      </c>
      <c r="AG140" s="129">
        <f t="shared" ca="1" si="110"/>
        <v>0.61389038871410773</v>
      </c>
      <c r="AH140" s="130">
        <f t="shared" ref="AH140:BE140" si="121">SUM(AH133:AH139)</f>
        <v>22457820029</v>
      </c>
      <c r="AI140" s="130">
        <f t="shared" si="121"/>
        <v>827576731</v>
      </c>
      <c r="AJ140" s="130">
        <f t="shared" si="121"/>
        <v>2722407075</v>
      </c>
      <c r="AK140" s="130">
        <f t="shared" si="121"/>
        <v>24243035</v>
      </c>
      <c r="AL140" s="130">
        <f t="shared" si="121"/>
        <v>134000000</v>
      </c>
      <c r="AM140" s="130">
        <f t="shared" si="121"/>
        <v>3644933044</v>
      </c>
      <c r="AN140" s="130">
        <f t="shared" si="121"/>
        <v>80000000</v>
      </c>
      <c r="AO140" s="130">
        <f t="shared" si="121"/>
        <v>265157791</v>
      </c>
      <c r="AP140" s="130">
        <f t="shared" si="121"/>
        <v>1964146935</v>
      </c>
      <c r="AQ140" s="130">
        <f t="shared" si="121"/>
        <v>371999999</v>
      </c>
      <c r="AR140" s="130">
        <f t="shared" si="121"/>
        <v>260103239</v>
      </c>
      <c r="AS140" s="130">
        <f t="shared" si="121"/>
        <v>175134741</v>
      </c>
      <c r="AT140" s="130">
        <f t="shared" si="121"/>
        <v>540551251</v>
      </c>
      <c r="AU140" s="130">
        <f t="shared" si="121"/>
        <v>37231112</v>
      </c>
      <c r="AV140" s="130">
        <f t="shared" si="121"/>
        <v>20000000</v>
      </c>
      <c r="AW140" s="130">
        <f t="shared" si="121"/>
        <v>20000000</v>
      </c>
      <c r="AX140" s="130">
        <f t="shared" si="121"/>
        <v>3834190260</v>
      </c>
      <c r="AY140" s="130">
        <f t="shared" si="121"/>
        <v>1086714654</v>
      </c>
      <c r="AZ140" s="130">
        <f t="shared" si="121"/>
        <v>1745869750</v>
      </c>
      <c r="BA140" s="130">
        <f t="shared" si="121"/>
        <v>1018408730</v>
      </c>
      <c r="BB140" s="130">
        <f t="shared" si="121"/>
        <v>791164006</v>
      </c>
      <c r="BC140" s="130">
        <f t="shared" si="121"/>
        <v>290803643</v>
      </c>
      <c r="BD140" s="130">
        <f t="shared" si="121"/>
        <v>651112987</v>
      </c>
      <c r="BE140" s="130">
        <f t="shared" si="121"/>
        <v>1952071046</v>
      </c>
      <c r="BF140" s="131">
        <f t="shared" ca="1" si="111"/>
        <v>0.38610961128589227</v>
      </c>
      <c r="BG140" s="130">
        <f t="shared" ref="BG140:CD140" si="122">SUM(BG133:BG139)</f>
        <v>14124964849</v>
      </c>
      <c r="BH140" s="130">
        <f t="shared" si="122"/>
        <v>468562556</v>
      </c>
      <c r="BI140" s="130">
        <f t="shared" si="122"/>
        <v>347963484</v>
      </c>
      <c r="BJ140" s="130">
        <f t="shared" si="122"/>
        <v>5640225</v>
      </c>
      <c r="BK140" s="130">
        <f t="shared" si="122"/>
        <v>242904086</v>
      </c>
      <c r="BL140" s="130">
        <f t="shared" si="122"/>
        <v>6855066956</v>
      </c>
      <c r="BM140" s="130">
        <f t="shared" si="122"/>
        <v>80000000</v>
      </c>
      <c r="BN140" s="130">
        <f t="shared" si="122"/>
        <v>0</v>
      </c>
      <c r="BO140" s="130">
        <f t="shared" si="122"/>
        <v>212577834</v>
      </c>
      <c r="BP140" s="130">
        <f t="shared" si="122"/>
        <v>143598134</v>
      </c>
      <c r="BQ140" s="130">
        <f t="shared" si="122"/>
        <v>127599336</v>
      </c>
      <c r="BR140" s="130">
        <f t="shared" si="122"/>
        <v>215166669</v>
      </c>
      <c r="BS140" s="130">
        <f t="shared" si="122"/>
        <v>305504768</v>
      </c>
      <c r="BT140" s="130">
        <f t="shared" si="122"/>
        <v>64000000</v>
      </c>
      <c r="BU140" s="130">
        <f t="shared" si="122"/>
        <v>439603682</v>
      </c>
      <c r="BV140" s="130">
        <f t="shared" si="122"/>
        <v>163785326</v>
      </c>
      <c r="BW140" s="130">
        <f t="shared" si="122"/>
        <v>1428812633</v>
      </c>
      <c r="BX140" s="130">
        <f t="shared" si="122"/>
        <v>108350641</v>
      </c>
      <c r="BY140" s="130">
        <f t="shared" si="122"/>
        <v>698713775</v>
      </c>
      <c r="BZ140" s="130">
        <f t="shared" si="122"/>
        <v>491840424</v>
      </c>
      <c r="CA140" s="130">
        <f t="shared" si="122"/>
        <v>1037738159</v>
      </c>
      <c r="CB140" s="130">
        <f t="shared" si="122"/>
        <v>29277923</v>
      </c>
      <c r="CC140" s="130">
        <f t="shared" si="122"/>
        <v>47633503</v>
      </c>
      <c r="CD140" s="130">
        <f t="shared" si="122"/>
        <v>610624735</v>
      </c>
      <c r="CE140" s="27">
        <f t="shared" ca="1" si="113"/>
        <v>0.45337613028400892</v>
      </c>
      <c r="CF140" s="132">
        <f t="shared" ref="CF140:DC140" si="123">SUM(CF133:CF139)</f>
        <v>16585761443</v>
      </c>
      <c r="CG140" s="132">
        <f t="shared" si="123"/>
        <v>621958094</v>
      </c>
      <c r="CH140" s="132">
        <f t="shared" si="123"/>
        <v>2348222669</v>
      </c>
      <c r="CI140" s="132">
        <f t="shared" si="123"/>
        <v>0</v>
      </c>
      <c r="CJ140" s="132">
        <f t="shared" si="123"/>
        <v>0</v>
      </c>
      <c r="CK140" s="132">
        <f t="shared" si="123"/>
        <v>3643156231</v>
      </c>
      <c r="CL140" s="132">
        <f t="shared" si="123"/>
        <v>79716667</v>
      </c>
      <c r="CM140" s="132">
        <f t="shared" si="123"/>
        <v>265157791</v>
      </c>
      <c r="CN140" s="132">
        <f t="shared" si="123"/>
        <v>864196600</v>
      </c>
      <c r="CO140" s="132">
        <f t="shared" si="123"/>
        <v>290444638</v>
      </c>
      <c r="CP140" s="132">
        <f t="shared" si="123"/>
        <v>189612791</v>
      </c>
      <c r="CQ140" s="132">
        <f t="shared" si="123"/>
        <v>74302196</v>
      </c>
      <c r="CR140" s="132">
        <f t="shared" si="123"/>
        <v>446784786</v>
      </c>
      <c r="CS140" s="132">
        <f t="shared" si="123"/>
        <v>0</v>
      </c>
      <c r="CT140" s="132">
        <f t="shared" si="123"/>
        <v>0</v>
      </c>
      <c r="CU140" s="132">
        <f t="shared" si="123"/>
        <v>0</v>
      </c>
      <c r="CV140" s="132">
        <f t="shared" si="123"/>
        <v>2833477327</v>
      </c>
      <c r="CW140" s="132">
        <f t="shared" si="123"/>
        <v>920497331</v>
      </c>
      <c r="CX140" s="132">
        <f t="shared" si="123"/>
        <v>1515683971</v>
      </c>
      <c r="CY140" s="132">
        <f t="shared" si="123"/>
        <v>684444407</v>
      </c>
      <c r="CZ140" s="132">
        <f t="shared" si="123"/>
        <v>509944628</v>
      </c>
      <c r="DA140" s="132">
        <f t="shared" si="123"/>
        <v>162631546</v>
      </c>
      <c r="DB140" s="132">
        <f t="shared" si="123"/>
        <v>56673333</v>
      </c>
      <c r="DC140" s="132">
        <f t="shared" si="123"/>
        <v>1078856437</v>
      </c>
      <c r="DD140" s="129">
        <f t="shared" ca="1" si="115"/>
        <v>0.54662386971599108</v>
      </c>
      <c r="DE140" s="126">
        <f t="shared" ref="DE140:EB140" ca="1" si="124">SUM(DE133:DE139)</f>
        <v>19997023435</v>
      </c>
      <c r="DF140" s="126">
        <f t="shared" ca="1" si="124"/>
        <v>674181193</v>
      </c>
      <c r="DG140" s="126">
        <f t="shared" si="124"/>
        <v>722147890</v>
      </c>
      <c r="DH140" s="126">
        <f t="shared" si="124"/>
        <v>29883260</v>
      </c>
      <c r="DI140" s="126">
        <f t="shared" si="124"/>
        <v>376904086</v>
      </c>
      <c r="DJ140" s="126">
        <f t="shared" si="124"/>
        <v>6856843769</v>
      </c>
      <c r="DK140" s="126">
        <f t="shared" si="124"/>
        <v>80283333</v>
      </c>
      <c r="DL140" s="126">
        <f t="shared" si="124"/>
        <v>0</v>
      </c>
      <c r="DM140" s="126">
        <f t="shared" si="124"/>
        <v>1312528169</v>
      </c>
      <c r="DN140" s="126">
        <f t="shared" si="124"/>
        <v>225153495</v>
      </c>
      <c r="DO140" s="126">
        <f t="shared" si="124"/>
        <v>198089784</v>
      </c>
      <c r="DP140" s="126">
        <f t="shared" si="124"/>
        <v>315999214</v>
      </c>
      <c r="DQ140" s="126">
        <f t="shared" si="124"/>
        <v>399271233</v>
      </c>
      <c r="DR140" s="126">
        <f t="shared" si="124"/>
        <v>101231112</v>
      </c>
      <c r="DS140" s="126">
        <f t="shared" si="124"/>
        <v>459603682</v>
      </c>
      <c r="DT140" s="126">
        <f t="shared" si="124"/>
        <v>183785326</v>
      </c>
      <c r="DU140" s="126">
        <f t="shared" si="124"/>
        <v>2429525566</v>
      </c>
      <c r="DV140" s="126">
        <f t="shared" si="124"/>
        <v>274567964</v>
      </c>
      <c r="DW140" s="126">
        <f t="shared" si="124"/>
        <v>928899554</v>
      </c>
      <c r="DX140" s="126">
        <f t="shared" si="124"/>
        <v>825804747</v>
      </c>
      <c r="DY140" s="126">
        <f t="shared" si="124"/>
        <v>1318957537</v>
      </c>
      <c r="DZ140" s="126">
        <f t="shared" si="124"/>
        <v>157450020</v>
      </c>
      <c r="EA140" s="126">
        <f t="shared" si="124"/>
        <v>642073157</v>
      </c>
      <c r="EB140" s="126">
        <f t="shared" si="124"/>
        <v>1483839344</v>
      </c>
      <c r="ED140" s="31">
        <f t="shared" ca="1" si="117"/>
        <v>36582784878</v>
      </c>
      <c r="EE140" s="31">
        <f t="shared" si="118"/>
        <v>36582784878</v>
      </c>
      <c r="EF140" s="31">
        <f t="shared" ca="1" si="119"/>
        <v>36582784878</v>
      </c>
    </row>
    <row r="141" spans="1:136" ht="15.75" thickTop="1" x14ac:dyDescent="0.25">
      <c r="G141" s="52">
        <f t="shared" ref="G141:AF141" ca="1" si="125">+G131-G140</f>
        <v>0</v>
      </c>
      <c r="H141" s="52"/>
      <c r="I141" s="52"/>
      <c r="J141" s="52">
        <f t="shared" si="125"/>
        <v>0</v>
      </c>
      <c r="K141" s="52">
        <f t="shared" si="125"/>
        <v>0</v>
      </c>
      <c r="L141" s="52">
        <f t="shared" si="125"/>
        <v>0</v>
      </c>
      <c r="M141" s="52">
        <f t="shared" si="125"/>
        <v>0</v>
      </c>
      <c r="N141" s="52">
        <f t="shared" si="125"/>
        <v>0</v>
      </c>
      <c r="O141" s="52">
        <f t="shared" si="125"/>
        <v>0</v>
      </c>
      <c r="P141" s="52">
        <f t="shared" si="125"/>
        <v>0</v>
      </c>
      <c r="Q141" s="52">
        <f t="shared" si="125"/>
        <v>0</v>
      </c>
      <c r="R141" s="52">
        <f t="shared" si="125"/>
        <v>0</v>
      </c>
      <c r="S141" s="52">
        <f t="shared" si="125"/>
        <v>0</v>
      </c>
      <c r="T141" s="52">
        <f t="shared" si="125"/>
        <v>0</v>
      </c>
      <c r="U141" s="52">
        <f t="shared" si="125"/>
        <v>0</v>
      </c>
      <c r="V141" s="52">
        <f t="shared" si="125"/>
        <v>0</v>
      </c>
      <c r="W141" s="52">
        <f t="shared" si="125"/>
        <v>0</v>
      </c>
      <c r="X141" s="52">
        <f t="shared" si="125"/>
        <v>0</v>
      </c>
      <c r="Y141" s="52">
        <f t="shared" si="125"/>
        <v>0</v>
      </c>
      <c r="Z141" s="52">
        <f t="shared" si="125"/>
        <v>0</v>
      </c>
      <c r="AA141" s="52">
        <f t="shared" si="125"/>
        <v>0</v>
      </c>
      <c r="AB141" s="52">
        <f t="shared" si="125"/>
        <v>0</v>
      </c>
      <c r="AC141" s="52">
        <f t="shared" si="125"/>
        <v>0</v>
      </c>
      <c r="AD141" s="52">
        <f t="shared" si="125"/>
        <v>0</v>
      </c>
      <c r="AE141" s="52">
        <f t="shared" si="125"/>
        <v>0</v>
      </c>
      <c r="AF141" s="52">
        <f t="shared" si="125"/>
        <v>0</v>
      </c>
      <c r="AH141" s="52">
        <f>+AH131-AH140</f>
        <v>0</v>
      </c>
      <c r="AI141" s="52">
        <f>+AI131-AI140</f>
        <v>0</v>
      </c>
      <c r="AJ141" s="52">
        <f>+AJ131-AJ140</f>
        <v>0</v>
      </c>
      <c r="AK141" s="52">
        <f>+AK131-AK140</f>
        <v>0</v>
      </c>
      <c r="AL141" s="52">
        <f>+AL131-AL140</f>
        <v>0</v>
      </c>
      <c r="AM141" s="52">
        <f t="shared" ref="AM141:BE141" si="126">+AM131-AM140</f>
        <v>0</v>
      </c>
      <c r="AN141" s="52">
        <f t="shared" si="126"/>
        <v>0</v>
      </c>
      <c r="AO141" s="52">
        <f t="shared" si="126"/>
        <v>0</v>
      </c>
      <c r="AP141" s="52">
        <f t="shared" si="126"/>
        <v>0</v>
      </c>
      <c r="AQ141" s="52">
        <f t="shared" si="126"/>
        <v>0</v>
      </c>
      <c r="AR141" s="52">
        <f t="shared" si="126"/>
        <v>0</v>
      </c>
      <c r="AS141" s="52">
        <f t="shared" si="126"/>
        <v>0</v>
      </c>
      <c r="AT141" s="52">
        <f t="shared" si="126"/>
        <v>0</v>
      </c>
      <c r="AU141" s="52">
        <f t="shared" si="126"/>
        <v>0</v>
      </c>
      <c r="AV141" s="52">
        <f t="shared" si="126"/>
        <v>0</v>
      </c>
      <c r="AW141" s="52">
        <f t="shared" si="126"/>
        <v>0</v>
      </c>
      <c r="AX141" s="52">
        <f t="shared" si="126"/>
        <v>0</v>
      </c>
      <c r="AY141" s="52">
        <f t="shared" si="126"/>
        <v>0</v>
      </c>
      <c r="AZ141" s="52">
        <f t="shared" si="126"/>
        <v>0</v>
      </c>
      <c r="BA141" s="52">
        <f t="shared" si="126"/>
        <v>0</v>
      </c>
      <c r="BB141" s="52">
        <f t="shared" si="126"/>
        <v>0</v>
      </c>
      <c r="BC141" s="52">
        <f t="shared" si="126"/>
        <v>0</v>
      </c>
      <c r="BD141" s="52">
        <f t="shared" si="126"/>
        <v>0</v>
      </c>
      <c r="BE141" s="52">
        <f t="shared" si="126"/>
        <v>0</v>
      </c>
      <c r="BG141" s="52">
        <f t="shared" ref="BG141:CB141" si="127">+BG131-BG140</f>
        <v>0</v>
      </c>
      <c r="BH141" s="52">
        <f t="shared" si="127"/>
        <v>0</v>
      </c>
      <c r="BI141" s="52">
        <f t="shared" si="127"/>
        <v>0</v>
      </c>
      <c r="BJ141" s="52">
        <f t="shared" si="127"/>
        <v>0</v>
      </c>
      <c r="BK141" s="52">
        <f t="shared" si="127"/>
        <v>0</v>
      </c>
      <c r="BL141" s="52">
        <f t="shared" si="127"/>
        <v>0</v>
      </c>
      <c r="BM141" s="52">
        <f t="shared" si="127"/>
        <v>0</v>
      </c>
      <c r="BN141" s="52">
        <f t="shared" si="127"/>
        <v>0</v>
      </c>
      <c r="BO141" s="52">
        <f t="shared" si="127"/>
        <v>0</v>
      </c>
      <c r="BP141" s="52">
        <f t="shared" si="127"/>
        <v>0</v>
      </c>
      <c r="BQ141" s="52">
        <f t="shared" si="127"/>
        <v>0</v>
      </c>
      <c r="BR141" s="52">
        <f t="shared" si="127"/>
        <v>0</v>
      </c>
      <c r="BS141" s="52">
        <f t="shared" si="127"/>
        <v>0</v>
      </c>
      <c r="BT141" s="52">
        <f t="shared" si="127"/>
        <v>0</v>
      </c>
      <c r="BU141" s="52">
        <f t="shared" si="127"/>
        <v>0</v>
      </c>
      <c r="BV141" s="52">
        <f t="shared" si="127"/>
        <v>0</v>
      </c>
      <c r="BW141" s="52">
        <f t="shared" si="127"/>
        <v>0</v>
      </c>
      <c r="BX141" s="52">
        <f t="shared" si="127"/>
        <v>0</v>
      </c>
      <c r="BY141" s="52">
        <f t="shared" si="127"/>
        <v>0</v>
      </c>
      <c r="BZ141" s="52">
        <f t="shared" si="127"/>
        <v>0</v>
      </c>
      <c r="CA141" s="52">
        <f t="shared" si="127"/>
        <v>0</v>
      </c>
      <c r="CB141" s="52">
        <f t="shared" si="127"/>
        <v>0</v>
      </c>
      <c r="CC141" s="52"/>
      <c r="CD141" s="52">
        <f t="shared" ref="CD141:DA141" si="128">+CD131-CD140</f>
        <v>0</v>
      </c>
      <c r="CE141" s="52">
        <f t="shared" ca="1" si="128"/>
        <v>0</v>
      </c>
      <c r="CF141" s="52">
        <f t="shared" si="128"/>
        <v>0</v>
      </c>
      <c r="CG141" s="52">
        <f t="shared" si="128"/>
        <v>0</v>
      </c>
      <c r="CH141" s="52"/>
      <c r="CI141" s="52">
        <f t="shared" si="128"/>
        <v>0</v>
      </c>
      <c r="CJ141" s="52">
        <f t="shared" si="128"/>
        <v>3643156231</v>
      </c>
      <c r="CK141" s="52">
        <f t="shared" si="128"/>
        <v>0</v>
      </c>
      <c r="CL141" s="52">
        <f t="shared" si="128"/>
        <v>0</v>
      </c>
      <c r="CM141" s="52">
        <f t="shared" si="128"/>
        <v>0</v>
      </c>
      <c r="CN141" s="52">
        <f t="shared" si="128"/>
        <v>0</v>
      </c>
      <c r="CO141" s="52">
        <f t="shared" si="128"/>
        <v>0</v>
      </c>
      <c r="CP141" s="52">
        <f t="shared" si="128"/>
        <v>0</v>
      </c>
      <c r="CQ141" s="52">
        <f t="shared" si="128"/>
        <v>0</v>
      </c>
      <c r="CR141" s="52">
        <f t="shared" si="128"/>
        <v>0</v>
      </c>
      <c r="CS141" s="52">
        <f t="shared" si="128"/>
        <v>0</v>
      </c>
      <c r="CT141" s="52">
        <f t="shared" si="128"/>
        <v>0</v>
      </c>
      <c r="CU141" s="52">
        <f t="shared" si="128"/>
        <v>0</v>
      </c>
      <c r="CV141" s="52">
        <f t="shared" si="128"/>
        <v>0</v>
      </c>
      <c r="CW141" s="52">
        <f t="shared" si="128"/>
        <v>0</v>
      </c>
      <c r="CX141" s="52">
        <f t="shared" si="128"/>
        <v>0</v>
      </c>
      <c r="CY141" s="52">
        <f t="shared" si="128"/>
        <v>0</v>
      </c>
      <c r="CZ141" s="52">
        <f t="shared" si="128"/>
        <v>0</v>
      </c>
      <c r="DA141" s="52">
        <f t="shared" si="128"/>
        <v>0</v>
      </c>
      <c r="DB141" s="52"/>
      <c r="DC141" s="52">
        <f t="shared" ref="DC141:EB141" si="129">+DC131-DC140</f>
        <v>0</v>
      </c>
      <c r="DD141" s="52">
        <f t="shared" ca="1" si="129"/>
        <v>0</v>
      </c>
      <c r="DE141" s="52">
        <f t="shared" ca="1" si="129"/>
        <v>0</v>
      </c>
      <c r="DF141" s="52">
        <f t="shared" ca="1" si="129"/>
        <v>0</v>
      </c>
      <c r="DG141" s="52">
        <f t="shared" si="129"/>
        <v>0</v>
      </c>
      <c r="DH141" s="52">
        <f t="shared" si="129"/>
        <v>0</v>
      </c>
      <c r="DI141" s="52">
        <f t="shared" si="129"/>
        <v>0</v>
      </c>
      <c r="DJ141" s="52">
        <f t="shared" si="129"/>
        <v>0</v>
      </c>
      <c r="DK141" s="52">
        <f t="shared" si="129"/>
        <v>0</v>
      </c>
      <c r="DL141" s="52">
        <f t="shared" si="129"/>
        <v>0</v>
      </c>
      <c r="DM141" s="52">
        <f t="shared" si="129"/>
        <v>0</v>
      </c>
      <c r="DN141" s="52">
        <f t="shared" si="129"/>
        <v>0</v>
      </c>
      <c r="DO141" s="52">
        <f t="shared" si="129"/>
        <v>0</v>
      </c>
      <c r="DP141" s="52">
        <f t="shared" si="129"/>
        <v>0</v>
      </c>
      <c r="DQ141" s="52">
        <f t="shared" si="129"/>
        <v>0</v>
      </c>
      <c r="DR141" s="52">
        <f t="shared" si="129"/>
        <v>0</v>
      </c>
      <c r="DS141" s="52">
        <f t="shared" si="129"/>
        <v>0</v>
      </c>
      <c r="DT141" s="52">
        <f t="shared" si="129"/>
        <v>0</v>
      </c>
      <c r="DU141" s="52">
        <f t="shared" si="129"/>
        <v>0</v>
      </c>
      <c r="DV141" s="52">
        <f t="shared" si="129"/>
        <v>0</v>
      </c>
      <c r="DW141" s="52">
        <f t="shared" si="129"/>
        <v>0</v>
      </c>
      <c r="DX141" s="52">
        <f t="shared" si="129"/>
        <v>0</v>
      </c>
      <c r="DY141" s="52">
        <f t="shared" si="129"/>
        <v>0</v>
      </c>
      <c r="DZ141" s="52">
        <f t="shared" si="129"/>
        <v>0</v>
      </c>
      <c r="EA141" s="52">
        <f t="shared" si="129"/>
        <v>0</v>
      </c>
      <c r="EB141" s="52">
        <f t="shared" si="129"/>
        <v>0</v>
      </c>
    </row>
    <row r="142" spans="1:136" x14ac:dyDescent="0.25">
      <c r="D142" s="52"/>
      <c r="AH142" s="52">
        <f>+[2]OCTUBRE!$G$2818-AH138</f>
        <v>0</v>
      </c>
      <c r="BE142" s="52">
        <f>+[2]OCTUBRE!$H$2818-CF138</f>
        <v>0</v>
      </c>
      <c r="CF142" s="52">
        <f>+[2]OCTUBRE!$H$3345-CF139</f>
        <v>0</v>
      </c>
    </row>
    <row r="143" spans="1:136" ht="15.75" thickBot="1" x14ac:dyDescent="0.3">
      <c r="G143" s="126"/>
    </row>
    <row r="144" spans="1:136" ht="17.25" thickTop="1" thickBot="1" x14ac:dyDescent="0.3">
      <c r="D144" s="133"/>
      <c r="G144" s="134"/>
      <c r="J144" s="126">
        <v>36471939550</v>
      </c>
    </row>
    <row r="145" spans="4:10" ht="15.75" thickTop="1" x14ac:dyDescent="0.25"/>
    <row r="146" spans="4:10" ht="15.75" x14ac:dyDescent="0.25">
      <c r="D146" s="135"/>
      <c r="E146" s="136"/>
      <c r="G146" s="136"/>
      <c r="J146" s="137">
        <f>+J144+G144-G149</f>
        <v>36471939550</v>
      </c>
    </row>
    <row r="147" spans="4:10" ht="15.75" x14ac:dyDescent="0.25">
      <c r="D147" s="135"/>
      <c r="E147" s="136"/>
      <c r="G147" s="136"/>
    </row>
    <row r="148" spans="4:10" ht="15.75" x14ac:dyDescent="0.25">
      <c r="D148" s="135"/>
      <c r="E148" s="136"/>
      <c r="G148" s="136"/>
    </row>
    <row r="149" spans="4:10" ht="15.75" x14ac:dyDescent="0.25">
      <c r="D149" s="138"/>
      <c r="E149" s="134"/>
      <c r="G149" s="134"/>
    </row>
    <row r="150" spans="4:10" ht="15.75" x14ac:dyDescent="0.25">
      <c r="D150" s="135"/>
      <c r="E150" s="136"/>
      <c r="G150" s="136"/>
    </row>
    <row r="151" spans="4:10" x14ac:dyDescent="0.25">
      <c r="D151" s="139"/>
      <c r="E151" s="140"/>
      <c r="G151" s="140"/>
    </row>
    <row r="152" spans="4:10" ht="15.75" x14ac:dyDescent="0.25">
      <c r="D152" s="141"/>
      <c r="E152" s="134"/>
      <c r="G152" s="134"/>
    </row>
    <row r="153" spans="4:10" x14ac:dyDescent="0.25">
      <c r="D153" s="142"/>
      <c r="E153" s="143"/>
      <c r="G153" s="136"/>
    </row>
    <row r="154" spans="4:10" x14ac:dyDescent="0.25">
      <c r="D154" s="142"/>
      <c r="E154" s="136"/>
      <c r="G154" s="136"/>
    </row>
    <row r="155" spans="4:10" x14ac:dyDescent="0.25">
      <c r="D155" s="142"/>
      <c r="E155" s="136"/>
      <c r="G155" s="136"/>
    </row>
    <row r="156" spans="4:10" x14ac:dyDescent="0.25">
      <c r="D156" s="142"/>
      <c r="E156" s="136"/>
      <c r="G156" s="136"/>
    </row>
  </sheetData>
  <mergeCells count="61"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A34:A46"/>
    <mergeCell ref="B34:B43"/>
    <mergeCell ref="B44:B45"/>
    <mergeCell ref="B47:B49"/>
    <mergeCell ref="A51:A67"/>
    <mergeCell ref="B51:B54"/>
    <mergeCell ref="B55:B62"/>
    <mergeCell ref="B63:B67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C1:AF1"/>
    <mergeCell ref="C2:AF2"/>
    <mergeCell ref="C3:AF3"/>
    <mergeCell ref="AH3:BE3"/>
    <mergeCell ref="BH3:CE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I202"/>
  <sheetViews>
    <sheetView showGridLines="0" tabSelected="1" topLeftCell="B4" zoomScaleNormal="100" zoomScaleSheetLayoutView="100" zoomScalePageLayoutView="50" workbookViewId="0">
      <pane xSplit="5" ySplit="2" topLeftCell="G192" activePane="bottomRight" state="frozen"/>
      <selection activeCell="C4" sqref="C4"/>
      <selection pane="topRight" activeCell="G4" sqref="G4"/>
      <selection pane="bottomLeft" activeCell="C6" sqref="C6"/>
      <selection pane="bottomRight" activeCell="EI131" sqref="EI131"/>
    </sheetView>
  </sheetViews>
  <sheetFormatPr baseColWidth="10" defaultRowHeight="15" x14ac:dyDescent="0.25"/>
  <cols>
    <col min="1" max="1" width="8.28515625" hidden="1" customWidth="1"/>
    <col min="2" max="2" width="22.42578125" hidden="1" customWidth="1"/>
    <col min="3" max="3" width="9" customWidth="1"/>
    <col min="4" max="4" width="46.5703125" customWidth="1"/>
    <col min="5" max="5" width="6.42578125" customWidth="1"/>
    <col min="6" max="6" width="12" hidden="1" customWidth="1"/>
    <col min="7" max="7" width="23.140625" customWidth="1"/>
    <col min="8" max="10" width="16" hidden="1" customWidth="1"/>
    <col min="11" max="11" width="12.5703125" hidden="1" customWidth="1"/>
    <col min="12" max="12" width="12" hidden="1" customWidth="1"/>
    <col min="13" max="13" width="12.7109375" hidden="1" customWidth="1"/>
    <col min="14" max="14" width="13.855468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1.140625" hidden="1" customWidth="1"/>
    <col min="19" max="19" width="10.8554687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2.5703125" hidden="1" customWidth="1"/>
    <col min="26" max="26" width="13.140625" hidden="1" customWidth="1"/>
    <col min="27" max="27" width="12.7109375" hidden="1" customWidth="1"/>
    <col min="28" max="28" width="12.42578125" hidden="1" customWidth="1"/>
    <col min="29" max="29" width="12.7109375" hidden="1" customWidth="1"/>
    <col min="30" max="30" width="11.42578125" hidden="1" customWidth="1"/>
    <col min="31" max="31" width="12.42578125" hidden="1" customWidth="1"/>
    <col min="32" max="32" width="12.7109375" hidden="1" customWidth="1"/>
    <col min="33" max="33" width="14.85546875" customWidth="1"/>
    <col min="34" max="34" width="1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6.2851562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29.28515625" customWidth="1"/>
    <col min="135" max="135" width="14.28515625" customWidth="1"/>
    <col min="136" max="136" width="15.7109375" customWidth="1"/>
    <col min="137" max="137" width="16" customWidth="1"/>
    <col min="138" max="154" width="11.42578125" customWidth="1"/>
  </cols>
  <sheetData>
    <row r="1" spans="1:138" ht="15.75" hidden="1" x14ac:dyDescent="0.25">
      <c r="B1" s="1"/>
      <c r="C1" s="199" t="s">
        <v>0</v>
      </c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</row>
    <row r="2" spans="1:138" ht="18" hidden="1" customHeight="1" x14ac:dyDescent="0.25">
      <c r="B2" s="2"/>
      <c r="C2" s="200" t="s">
        <v>1</v>
      </c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</row>
    <row r="3" spans="1:138" ht="15" hidden="1" customHeight="1" x14ac:dyDescent="0.3">
      <c r="B3" s="3"/>
      <c r="C3" s="200" t="s">
        <v>2</v>
      </c>
      <c r="D3" s="200"/>
      <c r="E3" s="200"/>
      <c r="F3" s="200"/>
      <c r="G3" s="200"/>
      <c r="H3" s="200"/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4"/>
      <c r="AH3" s="201" t="s">
        <v>3</v>
      </c>
      <c r="AI3" s="202"/>
      <c r="AJ3" s="202"/>
      <c r="AK3" s="202"/>
      <c r="AL3" s="202"/>
      <c r="AM3" s="202"/>
      <c r="AN3" s="202"/>
      <c r="AO3" s="202"/>
      <c r="AP3" s="202"/>
      <c r="AQ3" s="202"/>
      <c r="AR3" s="202"/>
      <c r="AS3" s="202"/>
      <c r="AT3" s="202"/>
      <c r="AU3" s="202"/>
      <c r="AV3" s="202"/>
      <c r="AW3" s="202"/>
      <c r="AX3" s="202"/>
      <c r="AY3" s="202"/>
      <c r="AZ3" s="202"/>
      <c r="BA3" s="202"/>
      <c r="BB3" s="202"/>
      <c r="BC3" s="202"/>
      <c r="BD3" s="202"/>
      <c r="BE3" s="203"/>
      <c r="BF3" s="5"/>
      <c r="BG3" s="6"/>
      <c r="BH3" s="204" t="s">
        <v>4</v>
      </c>
      <c r="BI3" s="205"/>
      <c r="BJ3" s="205"/>
      <c r="BK3" s="205"/>
      <c r="BL3" s="205"/>
      <c r="BM3" s="205"/>
      <c r="BN3" s="205"/>
      <c r="BO3" s="205"/>
      <c r="BP3" s="205"/>
      <c r="BQ3" s="205"/>
      <c r="BR3" s="205"/>
      <c r="BS3" s="205"/>
      <c r="BT3" s="205"/>
      <c r="BU3" s="205"/>
      <c r="BV3" s="205"/>
      <c r="BW3" s="205"/>
      <c r="BX3" s="205"/>
      <c r="BY3" s="205"/>
      <c r="BZ3" s="205"/>
      <c r="CA3" s="205"/>
      <c r="CB3" s="205"/>
      <c r="CC3" s="205"/>
      <c r="CD3" s="205"/>
      <c r="CE3" s="206"/>
      <c r="CF3" s="201"/>
      <c r="CG3" s="205"/>
      <c r="CH3" s="205"/>
      <c r="CI3" s="205"/>
      <c r="CJ3" s="205"/>
      <c r="CK3" s="205"/>
      <c r="CL3" s="205"/>
      <c r="CM3" s="205"/>
      <c r="CN3" s="205"/>
      <c r="CO3" s="205"/>
      <c r="CP3" s="205"/>
      <c r="CQ3" s="205"/>
      <c r="CR3" s="205"/>
      <c r="CS3" s="205"/>
      <c r="CT3" s="205"/>
      <c r="CU3" s="205"/>
      <c r="CV3" s="205"/>
      <c r="CW3" s="205"/>
      <c r="CX3" s="205"/>
      <c r="CY3" s="205"/>
      <c r="CZ3" s="205"/>
      <c r="DA3" s="205"/>
      <c r="DB3" s="205"/>
      <c r="DC3" s="206"/>
      <c r="DD3" s="5"/>
      <c r="DE3" s="204" t="s">
        <v>4</v>
      </c>
      <c r="DF3" s="205"/>
      <c r="DG3" s="205"/>
      <c r="DH3" s="205"/>
      <c r="DI3" s="205"/>
      <c r="DJ3" s="205"/>
      <c r="DK3" s="205"/>
      <c r="DL3" s="205"/>
      <c r="DM3" s="205"/>
      <c r="DN3" s="205"/>
      <c r="DO3" s="205"/>
      <c r="DP3" s="205"/>
      <c r="DQ3" s="205"/>
      <c r="DR3" s="205"/>
      <c r="DS3" s="205"/>
      <c r="DT3" s="205"/>
      <c r="DU3" s="205"/>
      <c r="DV3" s="205"/>
      <c r="DW3" s="205"/>
      <c r="DX3" s="205"/>
      <c r="DY3" s="205"/>
      <c r="DZ3" s="205"/>
      <c r="EA3" s="205"/>
      <c r="EB3" s="205"/>
    </row>
    <row r="4" spans="1:138" ht="26.25" customHeight="1" x14ac:dyDescent="0.25">
      <c r="A4" s="211" t="s">
        <v>5</v>
      </c>
      <c r="B4" s="212" t="s">
        <v>6</v>
      </c>
      <c r="C4" s="212" t="s">
        <v>7</v>
      </c>
      <c r="D4" s="212" t="s">
        <v>8</v>
      </c>
      <c r="E4" s="213" t="s">
        <v>9</v>
      </c>
      <c r="F4" s="212" t="s">
        <v>10</v>
      </c>
      <c r="G4" s="214" t="s">
        <v>375</v>
      </c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  <c r="AC4" s="214"/>
      <c r="AD4" s="214"/>
      <c r="AE4" s="214"/>
      <c r="AF4" s="214"/>
      <c r="AG4" s="256" t="s">
        <v>376</v>
      </c>
      <c r="AH4" s="256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44"/>
      <c r="BF4" s="257" t="s">
        <v>378</v>
      </c>
      <c r="BG4" s="257"/>
      <c r="BH4" s="218" t="s">
        <v>12</v>
      </c>
      <c r="BI4" s="219"/>
      <c r="BJ4" s="219"/>
      <c r="BK4" s="219"/>
      <c r="BL4" s="219"/>
      <c r="BM4" s="219"/>
      <c r="BN4" s="219"/>
      <c r="BO4" s="219"/>
      <c r="BP4" s="219"/>
      <c r="BQ4" s="219"/>
      <c r="BR4" s="219"/>
      <c r="BS4" s="219"/>
      <c r="BT4" s="218" t="s">
        <v>12</v>
      </c>
      <c r="BU4" s="219"/>
      <c r="BV4" s="219"/>
      <c r="BW4" s="219"/>
      <c r="BX4" s="219"/>
      <c r="BY4" s="219"/>
      <c r="BZ4" s="219"/>
      <c r="CA4" s="219"/>
      <c r="CB4" s="219"/>
      <c r="CC4" s="219"/>
      <c r="CD4" s="220"/>
      <c r="CE4" s="256" t="s">
        <v>379</v>
      </c>
      <c r="CF4" s="256"/>
      <c r="CG4" s="215" t="s">
        <v>13</v>
      </c>
      <c r="CH4" s="216"/>
      <c r="CI4" s="216"/>
      <c r="CJ4" s="216"/>
      <c r="CK4" s="216"/>
      <c r="CL4" s="216"/>
      <c r="CM4" s="216"/>
      <c r="CN4" s="216"/>
      <c r="CO4" s="216"/>
      <c r="CP4" s="216"/>
      <c r="CQ4" s="216"/>
      <c r="CR4" s="216"/>
      <c r="CS4" s="216"/>
      <c r="CT4" s="11"/>
      <c r="CU4" s="11"/>
      <c r="CV4" s="216"/>
      <c r="CW4" s="216"/>
      <c r="CX4" s="216"/>
      <c r="CY4" s="216"/>
      <c r="CZ4" s="216"/>
      <c r="DA4" s="216"/>
      <c r="DB4" s="216"/>
      <c r="DC4" s="217"/>
      <c r="DD4" s="257" t="s">
        <v>380</v>
      </c>
      <c r="DE4" s="257"/>
      <c r="DF4" s="257" t="s">
        <v>380</v>
      </c>
      <c r="DG4" s="257"/>
      <c r="DH4" s="257" t="s">
        <v>380</v>
      </c>
      <c r="DI4" s="257"/>
      <c r="DJ4" s="257" t="s">
        <v>380</v>
      </c>
      <c r="DK4" s="257"/>
      <c r="DL4" s="257" t="s">
        <v>380</v>
      </c>
      <c r="DM4" s="257"/>
      <c r="DN4" s="257" t="s">
        <v>380</v>
      </c>
      <c r="DO4" s="257"/>
      <c r="DP4" s="257" t="s">
        <v>380</v>
      </c>
      <c r="DQ4" s="257"/>
      <c r="DR4" s="219" t="s">
        <v>12</v>
      </c>
      <c r="DS4" s="219"/>
      <c r="DT4" s="219"/>
      <c r="DU4" s="219"/>
      <c r="DV4" s="219"/>
      <c r="DW4" s="219"/>
      <c r="DX4" s="219"/>
      <c r="DY4" s="219"/>
      <c r="DZ4" s="219"/>
      <c r="EA4" s="219"/>
      <c r="EB4" s="220"/>
    </row>
    <row r="5" spans="1:138" s="19" customFormat="1" ht="22.5" customHeight="1" x14ac:dyDescent="0.2">
      <c r="A5" s="211"/>
      <c r="B5" s="212"/>
      <c r="C5" s="212"/>
      <c r="D5" s="212"/>
      <c r="E5" s="213"/>
      <c r="F5" s="212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145" t="s">
        <v>40</v>
      </c>
      <c r="AH5" s="145" t="s">
        <v>377</v>
      </c>
      <c r="AI5" s="17" t="s">
        <v>17</v>
      </c>
      <c r="AJ5" s="17" t="s">
        <v>18</v>
      </c>
      <c r="AK5" s="17" t="s">
        <v>19</v>
      </c>
      <c r="AL5" s="17" t="s">
        <v>20</v>
      </c>
      <c r="AM5" s="17" t="s">
        <v>21</v>
      </c>
      <c r="AN5" s="17" t="s">
        <v>22</v>
      </c>
      <c r="AO5" s="17" t="s">
        <v>23</v>
      </c>
      <c r="AP5" s="17" t="s">
        <v>24</v>
      </c>
      <c r="AQ5" s="17" t="s">
        <v>25</v>
      </c>
      <c r="AR5" s="17" t="s">
        <v>26</v>
      </c>
      <c r="AS5" s="17" t="s">
        <v>27</v>
      </c>
      <c r="AT5" s="17" t="s">
        <v>28</v>
      </c>
      <c r="AU5" s="17" t="s">
        <v>29</v>
      </c>
      <c r="AV5" s="17" t="s">
        <v>30</v>
      </c>
      <c r="AW5" s="17" t="s">
        <v>31</v>
      </c>
      <c r="AX5" s="17" t="s">
        <v>32</v>
      </c>
      <c r="AY5" s="17" t="s">
        <v>33</v>
      </c>
      <c r="AZ5" s="17" t="s">
        <v>34</v>
      </c>
      <c r="BA5" s="17" t="s">
        <v>35</v>
      </c>
      <c r="BB5" s="17" t="s">
        <v>36</v>
      </c>
      <c r="BC5" s="17" t="s">
        <v>37</v>
      </c>
      <c r="BD5" s="17" t="s">
        <v>38</v>
      </c>
      <c r="BE5" s="17" t="s">
        <v>39</v>
      </c>
      <c r="BF5" s="146" t="s">
        <v>40</v>
      </c>
      <c r="BG5" s="146" t="s">
        <v>377</v>
      </c>
      <c r="BH5" s="12" t="s">
        <v>17</v>
      </c>
      <c r="BI5" s="12" t="s">
        <v>18</v>
      </c>
      <c r="BJ5" s="12" t="s">
        <v>42</v>
      </c>
      <c r="BK5" s="12" t="s">
        <v>20</v>
      </c>
      <c r="BL5" s="12" t="s">
        <v>21</v>
      </c>
      <c r="BM5" s="12" t="s">
        <v>22</v>
      </c>
      <c r="BN5" s="12" t="s">
        <v>23</v>
      </c>
      <c r="BO5" s="12" t="s">
        <v>24</v>
      </c>
      <c r="BP5" s="12" t="s">
        <v>25</v>
      </c>
      <c r="BQ5" s="12" t="s">
        <v>26</v>
      </c>
      <c r="BR5" s="12" t="s">
        <v>27</v>
      </c>
      <c r="BS5" s="12" t="s">
        <v>28</v>
      </c>
      <c r="BT5" s="12" t="s">
        <v>29</v>
      </c>
      <c r="BU5" s="12" t="s">
        <v>30</v>
      </c>
      <c r="BV5" s="12" t="s">
        <v>31</v>
      </c>
      <c r="BW5" s="12" t="s">
        <v>32</v>
      </c>
      <c r="BX5" s="12" t="s">
        <v>33</v>
      </c>
      <c r="BY5" s="12" t="s">
        <v>34</v>
      </c>
      <c r="BZ5" s="12" t="s">
        <v>35</v>
      </c>
      <c r="CA5" s="12" t="s">
        <v>36</v>
      </c>
      <c r="CB5" s="12" t="s">
        <v>37</v>
      </c>
      <c r="CC5" s="12" t="s">
        <v>38</v>
      </c>
      <c r="CD5" s="12" t="s">
        <v>39</v>
      </c>
      <c r="CE5" s="145" t="s">
        <v>40</v>
      </c>
      <c r="CF5" s="145" t="s">
        <v>377</v>
      </c>
      <c r="CG5" s="17" t="s">
        <v>17</v>
      </c>
      <c r="CH5" s="17" t="s">
        <v>18</v>
      </c>
      <c r="CI5" s="17" t="s">
        <v>42</v>
      </c>
      <c r="CJ5" s="17" t="s">
        <v>20</v>
      </c>
      <c r="CK5" s="17" t="s">
        <v>21</v>
      </c>
      <c r="CL5" s="17" t="s">
        <v>22</v>
      </c>
      <c r="CM5" s="17" t="s">
        <v>23</v>
      </c>
      <c r="CN5" s="17" t="s">
        <v>24</v>
      </c>
      <c r="CO5" s="17" t="s">
        <v>25</v>
      </c>
      <c r="CP5" s="17" t="s">
        <v>26</v>
      </c>
      <c r="CQ5" s="17" t="s">
        <v>27</v>
      </c>
      <c r="CR5" s="17" t="s">
        <v>28</v>
      </c>
      <c r="CS5" s="17" t="s">
        <v>29</v>
      </c>
      <c r="CT5" s="17" t="s">
        <v>30</v>
      </c>
      <c r="CU5" s="17" t="s">
        <v>31</v>
      </c>
      <c r="CV5" s="17" t="s">
        <v>32</v>
      </c>
      <c r="CW5" s="17" t="s">
        <v>33</v>
      </c>
      <c r="CX5" s="17" t="s">
        <v>34</v>
      </c>
      <c r="CY5" s="17" t="s">
        <v>35</v>
      </c>
      <c r="CZ5" s="17" t="s">
        <v>36</v>
      </c>
      <c r="DA5" s="17" t="s">
        <v>37</v>
      </c>
      <c r="DB5" s="17" t="s">
        <v>38</v>
      </c>
      <c r="DC5" s="17" t="s">
        <v>39</v>
      </c>
      <c r="DD5" s="146" t="s">
        <v>40</v>
      </c>
      <c r="DE5" s="146" t="s">
        <v>377</v>
      </c>
      <c r="DF5" s="146" t="s">
        <v>40</v>
      </c>
      <c r="DG5" s="146" t="s">
        <v>377</v>
      </c>
      <c r="DH5" s="146" t="s">
        <v>40</v>
      </c>
      <c r="DI5" s="146" t="s">
        <v>377</v>
      </c>
      <c r="DJ5" s="146" t="s">
        <v>40</v>
      </c>
      <c r="DK5" s="146" t="s">
        <v>377</v>
      </c>
      <c r="DL5" s="146" t="s">
        <v>40</v>
      </c>
      <c r="DM5" s="146" t="s">
        <v>377</v>
      </c>
      <c r="DN5" s="146" t="s">
        <v>40</v>
      </c>
      <c r="DO5" s="146" t="s">
        <v>377</v>
      </c>
      <c r="DP5" s="146" t="s">
        <v>40</v>
      </c>
      <c r="DQ5" s="146" t="s">
        <v>377</v>
      </c>
      <c r="DR5" s="12" t="s">
        <v>29</v>
      </c>
      <c r="DS5" s="12" t="s">
        <v>30</v>
      </c>
      <c r="DT5" s="12" t="s">
        <v>31</v>
      </c>
      <c r="DU5" s="12" t="s">
        <v>32</v>
      </c>
      <c r="DV5" s="12" t="s">
        <v>33</v>
      </c>
      <c r="DW5" s="12" t="s">
        <v>34</v>
      </c>
      <c r="DX5" s="12" t="s">
        <v>35</v>
      </c>
      <c r="DY5" s="12" t="s">
        <v>36</v>
      </c>
      <c r="DZ5" s="12" t="s">
        <v>37</v>
      </c>
      <c r="EA5" s="12" t="s">
        <v>38</v>
      </c>
      <c r="EB5" s="12" t="s">
        <v>39</v>
      </c>
      <c r="ED5" s="148" t="s">
        <v>5</v>
      </c>
      <c r="EE5" s="158" t="s">
        <v>43</v>
      </c>
      <c r="EF5" s="158" t="s">
        <v>392</v>
      </c>
      <c r="EG5" s="158" t="s">
        <v>393</v>
      </c>
      <c r="EH5" s="158"/>
    </row>
    <row r="6" spans="1:138" ht="46.9" hidden="1" customHeight="1" x14ac:dyDescent="0.25">
      <c r="A6" s="207" t="s">
        <v>46</v>
      </c>
      <c r="B6" s="209" t="s">
        <v>47</v>
      </c>
      <c r="C6" s="20" t="s">
        <v>48</v>
      </c>
      <c r="D6" s="21" t="s">
        <v>49</v>
      </c>
      <c r="E6" s="22">
        <v>510</v>
      </c>
      <c r="F6" s="23" t="s">
        <v>50</v>
      </c>
      <c r="G6" s="24">
        <f t="shared" ref="G6:G23" si="0">SUM(J6:AF6)</f>
        <v>71500000</v>
      </c>
      <c r="H6" s="25">
        <f>+[1]SF!$F5</f>
        <v>100000000</v>
      </c>
      <c r="I6" s="25">
        <f>+H6-G6</f>
        <v>28500000</v>
      </c>
      <c r="J6" s="24"/>
      <c r="K6" s="24">
        <f>25000000+5000000</f>
        <v>30000000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>
        <v>30000000</v>
      </c>
      <c r="AB6" s="24"/>
      <c r="AC6" s="24"/>
      <c r="AD6" s="24"/>
      <c r="AE6" s="24"/>
      <c r="AF6" s="26">
        <f>35000000+5000000+5000000-18000000-5000000-10500000</f>
        <v>11500000</v>
      </c>
      <c r="AG6" s="27">
        <f t="shared" ref="AG6:AG69" si="1">AH6/G6</f>
        <v>0.74341076923076921</v>
      </c>
      <c r="AH6" s="24">
        <f t="shared" ref="AH6:AH14" si="2">SUM(AI6:BE6)</f>
        <v>53153870</v>
      </c>
      <c r="AI6" s="28"/>
      <c r="AJ6" s="24">
        <f>+[2]OCTUBRE!$K$2824</f>
        <v>18590000</v>
      </c>
      <c r="AK6" s="29"/>
      <c r="AL6" s="29"/>
      <c r="AM6" s="28"/>
      <c r="AN6" s="28"/>
      <c r="AO6" s="24"/>
      <c r="AP6" s="30"/>
      <c r="AQ6" s="30"/>
      <c r="AR6" s="30"/>
      <c r="AS6" s="30"/>
      <c r="AT6" s="30"/>
      <c r="AU6" s="30"/>
      <c r="AV6" s="30"/>
      <c r="AW6" s="30"/>
      <c r="AX6" s="24"/>
      <c r="AY6" s="24"/>
      <c r="AZ6" s="24">
        <f>+[3]SEPTIEMBRE!$AA$2628</f>
        <v>23063870</v>
      </c>
      <c r="BA6" s="24"/>
      <c r="BB6" s="24"/>
      <c r="BC6" s="24"/>
      <c r="BD6" s="24"/>
      <c r="BE6" s="24">
        <f>+[2]OCTUBRE!$AG$2824</f>
        <v>11500000</v>
      </c>
      <c r="BF6" s="27">
        <f>1-AG6</f>
        <v>0.25658923076923079</v>
      </c>
      <c r="BG6" s="24">
        <f t="shared" ref="BG6:BG23" si="3">SUM(BH6:CD6)</f>
        <v>18346130</v>
      </c>
      <c r="BH6" s="24">
        <f t="shared" ref="BH6:BW21" si="4">+J6-AI6</f>
        <v>0</v>
      </c>
      <c r="BI6" s="24">
        <f t="shared" si="4"/>
        <v>11410000</v>
      </c>
      <c r="BJ6" s="24">
        <f t="shared" si="4"/>
        <v>0</v>
      </c>
      <c r="BK6" s="24">
        <f t="shared" si="4"/>
        <v>0</v>
      </c>
      <c r="BL6" s="24">
        <f t="shared" si="4"/>
        <v>0</v>
      </c>
      <c r="BM6" s="24">
        <f t="shared" si="4"/>
        <v>0</v>
      </c>
      <c r="BN6" s="24">
        <f t="shared" si="4"/>
        <v>0</v>
      </c>
      <c r="BO6" s="24">
        <f t="shared" si="4"/>
        <v>0</v>
      </c>
      <c r="BP6" s="24">
        <f t="shared" si="4"/>
        <v>0</v>
      </c>
      <c r="BQ6" s="24">
        <f t="shared" si="4"/>
        <v>0</v>
      </c>
      <c r="BR6" s="24">
        <f t="shared" si="4"/>
        <v>0</v>
      </c>
      <c r="BS6" s="24">
        <f t="shared" si="4"/>
        <v>0</v>
      </c>
      <c r="BT6" s="24">
        <f t="shared" si="4"/>
        <v>0</v>
      </c>
      <c r="BU6" s="24">
        <f t="shared" si="4"/>
        <v>0</v>
      </c>
      <c r="BV6" s="24">
        <f t="shared" si="4"/>
        <v>0</v>
      </c>
      <c r="BW6" s="24">
        <f t="shared" si="4"/>
        <v>0</v>
      </c>
      <c r="BX6" s="24">
        <f t="shared" ref="BX6:CD23" si="5">+Z6-AY6</f>
        <v>0</v>
      </c>
      <c r="BY6" s="24">
        <f t="shared" si="5"/>
        <v>6936130</v>
      </c>
      <c r="BZ6" s="24">
        <f t="shared" si="5"/>
        <v>0</v>
      </c>
      <c r="CA6" s="24">
        <f t="shared" si="5"/>
        <v>0</v>
      </c>
      <c r="CB6" s="24">
        <f t="shared" si="5"/>
        <v>0</v>
      </c>
      <c r="CC6" s="24">
        <f t="shared" si="5"/>
        <v>0</v>
      </c>
      <c r="CD6" s="24">
        <f t="shared" si="5"/>
        <v>0</v>
      </c>
      <c r="CE6" s="27">
        <f t="shared" ref="CE6:CE50" si="6">CF6/G6</f>
        <v>0.70867881118881115</v>
      </c>
      <c r="CF6" s="24">
        <f t="shared" ref="CF6:CF23" si="7">SUM(CG6:DC6)</f>
        <v>50670535</v>
      </c>
      <c r="CG6" s="24"/>
      <c r="CH6" s="24">
        <f>+[2]OCTUBRE!$H$2825+[2]OCTUBRE!$H$2857</f>
        <v>16106665</v>
      </c>
      <c r="CI6" s="24"/>
      <c r="CJ6" s="24"/>
      <c r="CK6" s="24"/>
      <c r="CL6" s="24"/>
      <c r="CM6" s="24"/>
      <c r="CN6" s="24"/>
      <c r="CO6" s="24"/>
      <c r="CP6" s="24"/>
      <c r="CQ6" s="24"/>
      <c r="CR6" s="24"/>
      <c r="CS6" s="24"/>
      <c r="CT6" s="24"/>
      <c r="CU6" s="24"/>
      <c r="CV6" s="24"/>
      <c r="CW6" s="24"/>
      <c r="CX6" s="24">
        <f>+[4]JULIO!$H$2193+[4]JULIO!$H$2199</f>
        <v>23063870</v>
      </c>
      <c r="CY6" s="24"/>
      <c r="CZ6" s="24"/>
      <c r="DA6" s="24"/>
      <c r="DB6" s="24"/>
      <c r="DC6" s="24">
        <f>+[4]JULIO!$H$2167+[4]JULIO!$H$2170+[4]JULIO!$H$2175</f>
        <v>11500000</v>
      </c>
      <c r="DD6" s="27">
        <f t="shared" ref="DD6:DD69" si="8">1-CE6</f>
        <v>0.29132118881118885</v>
      </c>
      <c r="DE6" s="24">
        <f>SUM(DF6:EB6)</f>
        <v>20829465</v>
      </c>
      <c r="DF6" s="24">
        <f t="shared" ref="DF6:DU21" si="9">+J6-CG6</f>
        <v>0</v>
      </c>
      <c r="DG6" s="24">
        <f t="shared" si="9"/>
        <v>13893335</v>
      </c>
      <c r="DH6" s="24">
        <f t="shared" si="9"/>
        <v>0</v>
      </c>
      <c r="DI6" s="24">
        <f t="shared" si="9"/>
        <v>0</v>
      </c>
      <c r="DJ6" s="24">
        <f t="shared" si="9"/>
        <v>0</v>
      </c>
      <c r="DK6" s="24">
        <f t="shared" si="9"/>
        <v>0</v>
      </c>
      <c r="DL6" s="24">
        <f t="shared" si="9"/>
        <v>0</v>
      </c>
      <c r="DM6" s="24">
        <f t="shared" si="9"/>
        <v>0</v>
      </c>
      <c r="DN6" s="24">
        <f t="shared" si="9"/>
        <v>0</v>
      </c>
      <c r="DO6" s="24">
        <f t="shared" si="9"/>
        <v>0</v>
      </c>
      <c r="DP6" s="24">
        <f t="shared" si="9"/>
        <v>0</v>
      </c>
      <c r="DQ6" s="24">
        <f t="shared" si="9"/>
        <v>0</v>
      </c>
      <c r="DR6" s="24">
        <f t="shared" si="9"/>
        <v>0</v>
      </c>
      <c r="DS6" s="24">
        <f t="shared" si="9"/>
        <v>0</v>
      </c>
      <c r="DT6" s="24">
        <f t="shared" si="9"/>
        <v>0</v>
      </c>
      <c r="DU6" s="24">
        <f t="shared" si="9"/>
        <v>0</v>
      </c>
      <c r="DV6" s="24">
        <f t="shared" ref="DV6:EB23" si="10">+Z6-CW6</f>
        <v>0</v>
      </c>
      <c r="DW6" s="24">
        <f t="shared" si="10"/>
        <v>6936130</v>
      </c>
      <c r="DX6" s="24">
        <f t="shared" si="10"/>
        <v>0</v>
      </c>
      <c r="DY6" s="24">
        <f t="shared" si="10"/>
        <v>0</v>
      </c>
      <c r="DZ6" s="24">
        <f t="shared" si="10"/>
        <v>0</v>
      </c>
      <c r="EA6" s="24">
        <f t="shared" si="10"/>
        <v>0</v>
      </c>
      <c r="EB6" s="24">
        <f t="shared" si="10"/>
        <v>0</v>
      </c>
    </row>
    <row r="7" spans="1:138" ht="33.6" hidden="1" customHeight="1" x14ac:dyDescent="0.25">
      <c r="A7" s="208"/>
      <c r="B7" s="210"/>
      <c r="C7" s="20" t="s">
        <v>51</v>
      </c>
      <c r="D7" s="21" t="s">
        <v>52</v>
      </c>
      <c r="E7" s="22">
        <v>510</v>
      </c>
      <c r="F7" s="23" t="s">
        <v>53</v>
      </c>
      <c r="G7" s="24">
        <f t="shared" si="0"/>
        <v>40000000</v>
      </c>
      <c r="H7" s="25">
        <f>+[1]SF!$F6</f>
        <v>40000000</v>
      </c>
      <c r="I7" s="25">
        <f t="shared" ref="I7:I23" si="11">+H7-G7</f>
        <v>0</v>
      </c>
      <c r="J7" s="24"/>
      <c r="K7" s="24">
        <f>25000000-5000000</f>
        <v>20000000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>
        <v>20000000</v>
      </c>
      <c r="AB7" s="24"/>
      <c r="AC7" s="24"/>
      <c r="AD7" s="24"/>
      <c r="AE7" s="24"/>
      <c r="AF7" s="26">
        <v>0</v>
      </c>
      <c r="AG7" s="27">
        <f t="shared" si="1"/>
        <v>0.89605857499999997</v>
      </c>
      <c r="AH7" s="24">
        <f t="shared" si="2"/>
        <v>35842343</v>
      </c>
      <c r="AI7" s="24"/>
      <c r="AJ7" s="24">
        <f>+[2]OCTUBRE!$K$2867</f>
        <v>15842343</v>
      </c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>
        <f>+[4]JULIO!$AA$2206</f>
        <v>20000000</v>
      </c>
      <c r="BA7" s="24"/>
      <c r="BB7" s="24"/>
      <c r="BC7" s="24"/>
      <c r="BD7" s="24"/>
      <c r="BE7" s="24"/>
      <c r="BF7" s="27">
        <f t="shared" ref="BF7:BF70" si="12">1-AG7</f>
        <v>0.10394142500000003</v>
      </c>
      <c r="BG7" s="24">
        <f t="shared" si="3"/>
        <v>4157657</v>
      </c>
      <c r="BH7" s="24">
        <f t="shared" si="4"/>
        <v>0</v>
      </c>
      <c r="BI7" s="24">
        <f t="shared" si="4"/>
        <v>4157657</v>
      </c>
      <c r="BJ7" s="24">
        <f t="shared" si="4"/>
        <v>0</v>
      </c>
      <c r="BK7" s="24">
        <f t="shared" si="4"/>
        <v>0</v>
      </c>
      <c r="BL7" s="24">
        <f t="shared" si="4"/>
        <v>0</v>
      </c>
      <c r="BM7" s="24">
        <f t="shared" si="4"/>
        <v>0</v>
      </c>
      <c r="BN7" s="24">
        <f t="shared" si="4"/>
        <v>0</v>
      </c>
      <c r="BO7" s="24">
        <f t="shared" si="4"/>
        <v>0</v>
      </c>
      <c r="BP7" s="24">
        <f t="shared" si="4"/>
        <v>0</v>
      </c>
      <c r="BQ7" s="24">
        <f t="shared" si="4"/>
        <v>0</v>
      </c>
      <c r="BR7" s="24">
        <f t="shared" si="4"/>
        <v>0</v>
      </c>
      <c r="BS7" s="24">
        <f t="shared" si="4"/>
        <v>0</v>
      </c>
      <c r="BT7" s="24">
        <f t="shared" si="4"/>
        <v>0</v>
      </c>
      <c r="BU7" s="24">
        <f t="shared" si="4"/>
        <v>0</v>
      </c>
      <c r="BV7" s="24">
        <f t="shared" si="4"/>
        <v>0</v>
      </c>
      <c r="BW7" s="24">
        <f t="shared" si="4"/>
        <v>0</v>
      </c>
      <c r="BX7" s="24">
        <f t="shared" si="5"/>
        <v>0</v>
      </c>
      <c r="BY7" s="24">
        <f t="shared" si="5"/>
        <v>0</v>
      </c>
      <c r="BZ7" s="24">
        <f t="shared" si="5"/>
        <v>0</v>
      </c>
      <c r="CA7" s="24">
        <f t="shared" si="5"/>
        <v>0</v>
      </c>
      <c r="CB7" s="24">
        <f t="shared" si="5"/>
        <v>0</v>
      </c>
      <c r="CC7" s="24">
        <f t="shared" si="5"/>
        <v>0</v>
      </c>
      <c r="CD7" s="24">
        <f t="shared" si="5"/>
        <v>0</v>
      </c>
      <c r="CE7" s="27">
        <f t="shared" si="6"/>
        <v>0.77058332500000004</v>
      </c>
      <c r="CF7" s="24">
        <f t="shared" si="7"/>
        <v>30823333</v>
      </c>
      <c r="CG7" s="24"/>
      <c r="CH7" s="24">
        <f>+[4]JULIO!$H$2207+[4]JULIO!$H$2210</f>
        <v>10823333</v>
      </c>
      <c r="CI7" s="24"/>
      <c r="CJ7" s="24"/>
      <c r="CK7" s="24"/>
      <c r="CL7" s="24"/>
      <c r="CM7" s="24"/>
      <c r="CN7" s="24"/>
      <c r="CO7" s="24"/>
      <c r="CP7" s="24"/>
      <c r="CQ7" s="24"/>
      <c r="CR7" s="24"/>
      <c r="CS7" s="24"/>
      <c r="CT7" s="24"/>
      <c r="CU7" s="24"/>
      <c r="CV7" s="24"/>
      <c r="CW7" s="24"/>
      <c r="CX7" s="24">
        <f>+[4]JULIO!$H$2204-CH7</f>
        <v>20000000</v>
      </c>
      <c r="CY7" s="24"/>
      <c r="CZ7" s="24"/>
      <c r="DA7" s="24"/>
      <c r="DB7" s="24"/>
      <c r="DC7" s="24"/>
      <c r="DD7" s="27">
        <f t="shared" si="8"/>
        <v>0.22941667499999996</v>
      </c>
      <c r="DE7" s="24">
        <f t="shared" ref="DE7:DE23" si="13">SUM(DF7:EB7)</f>
        <v>9176667</v>
      </c>
      <c r="DF7" s="24">
        <f t="shared" si="9"/>
        <v>0</v>
      </c>
      <c r="DG7" s="24">
        <f t="shared" si="9"/>
        <v>9176667</v>
      </c>
      <c r="DH7" s="24">
        <f t="shared" si="9"/>
        <v>0</v>
      </c>
      <c r="DI7" s="24">
        <f t="shared" si="9"/>
        <v>0</v>
      </c>
      <c r="DJ7" s="24">
        <f t="shared" si="9"/>
        <v>0</v>
      </c>
      <c r="DK7" s="24">
        <f t="shared" si="9"/>
        <v>0</v>
      </c>
      <c r="DL7" s="24">
        <f t="shared" si="9"/>
        <v>0</v>
      </c>
      <c r="DM7" s="24">
        <f t="shared" si="9"/>
        <v>0</v>
      </c>
      <c r="DN7" s="24">
        <f t="shared" si="9"/>
        <v>0</v>
      </c>
      <c r="DO7" s="24">
        <f t="shared" si="9"/>
        <v>0</v>
      </c>
      <c r="DP7" s="24">
        <f t="shared" si="9"/>
        <v>0</v>
      </c>
      <c r="DQ7" s="24">
        <f t="shared" si="9"/>
        <v>0</v>
      </c>
      <c r="DR7" s="24">
        <f t="shared" si="9"/>
        <v>0</v>
      </c>
      <c r="DS7" s="24">
        <f t="shared" si="9"/>
        <v>0</v>
      </c>
      <c r="DT7" s="24">
        <f t="shared" si="9"/>
        <v>0</v>
      </c>
      <c r="DU7" s="24">
        <f t="shared" si="9"/>
        <v>0</v>
      </c>
      <c r="DV7" s="24">
        <f t="shared" si="10"/>
        <v>0</v>
      </c>
      <c r="DW7" s="24">
        <f t="shared" si="10"/>
        <v>0</v>
      </c>
      <c r="DX7" s="24">
        <f t="shared" si="10"/>
        <v>0</v>
      </c>
      <c r="DY7" s="24">
        <f t="shared" si="10"/>
        <v>0</v>
      </c>
      <c r="DZ7" s="24">
        <f t="shared" si="10"/>
        <v>0</v>
      </c>
      <c r="EA7" s="24">
        <f t="shared" si="10"/>
        <v>0</v>
      </c>
      <c r="EB7" s="24">
        <f t="shared" si="10"/>
        <v>0</v>
      </c>
    </row>
    <row r="8" spans="1:138" ht="50.45" hidden="1" customHeight="1" x14ac:dyDescent="0.25">
      <c r="A8" s="32"/>
      <c r="B8" s="222" t="s">
        <v>54</v>
      </c>
      <c r="C8" s="20" t="s">
        <v>55</v>
      </c>
      <c r="D8" s="21" t="s">
        <v>56</v>
      </c>
      <c r="E8" s="22">
        <v>510</v>
      </c>
      <c r="F8" s="23" t="s">
        <v>57</v>
      </c>
      <c r="G8" s="24">
        <f t="shared" si="0"/>
        <v>5083517</v>
      </c>
      <c r="H8" s="25">
        <f>+[1]SF!$F12</f>
        <v>15000000</v>
      </c>
      <c r="I8" s="25">
        <f t="shared" si="11"/>
        <v>9916483</v>
      </c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6">
        <f>23083517-15000000+2000000-2000000-3000000</f>
        <v>5083517</v>
      </c>
      <c r="AG8" s="27">
        <f t="shared" si="1"/>
        <v>0</v>
      </c>
      <c r="AH8" s="24">
        <f t="shared" si="2"/>
        <v>0</v>
      </c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24"/>
      <c r="AU8" s="24"/>
      <c r="AV8" s="24"/>
      <c r="AW8" s="24"/>
      <c r="AX8" s="24"/>
      <c r="AY8" s="24"/>
      <c r="AZ8" s="24"/>
      <c r="BA8" s="24"/>
      <c r="BB8" s="24"/>
      <c r="BC8" s="24"/>
      <c r="BD8" s="24"/>
      <c r="BE8" s="24"/>
      <c r="BF8" s="27">
        <f t="shared" si="12"/>
        <v>1</v>
      </c>
      <c r="BG8" s="24">
        <f t="shared" si="3"/>
        <v>5083517</v>
      </c>
      <c r="BH8" s="24">
        <f t="shared" si="4"/>
        <v>0</v>
      </c>
      <c r="BI8" s="24">
        <f t="shared" si="4"/>
        <v>0</v>
      </c>
      <c r="BJ8" s="24">
        <f t="shared" si="4"/>
        <v>0</v>
      </c>
      <c r="BK8" s="24">
        <f t="shared" si="4"/>
        <v>0</v>
      </c>
      <c r="BL8" s="24">
        <f t="shared" si="4"/>
        <v>0</v>
      </c>
      <c r="BM8" s="24">
        <f t="shared" si="4"/>
        <v>0</v>
      </c>
      <c r="BN8" s="24">
        <f t="shared" si="4"/>
        <v>0</v>
      </c>
      <c r="BO8" s="24">
        <f t="shared" si="4"/>
        <v>0</v>
      </c>
      <c r="BP8" s="24">
        <f t="shared" si="4"/>
        <v>0</v>
      </c>
      <c r="BQ8" s="24">
        <f t="shared" si="4"/>
        <v>0</v>
      </c>
      <c r="BR8" s="24">
        <f t="shared" si="4"/>
        <v>0</v>
      </c>
      <c r="BS8" s="24">
        <f t="shared" si="4"/>
        <v>0</v>
      </c>
      <c r="BT8" s="24">
        <f t="shared" si="4"/>
        <v>0</v>
      </c>
      <c r="BU8" s="24">
        <f t="shared" si="4"/>
        <v>0</v>
      </c>
      <c r="BV8" s="24">
        <f t="shared" si="4"/>
        <v>0</v>
      </c>
      <c r="BW8" s="24">
        <f t="shared" si="4"/>
        <v>0</v>
      </c>
      <c r="BX8" s="24">
        <f t="shared" si="5"/>
        <v>0</v>
      </c>
      <c r="BY8" s="24">
        <f t="shared" si="5"/>
        <v>0</v>
      </c>
      <c r="BZ8" s="24">
        <f t="shared" si="5"/>
        <v>0</v>
      </c>
      <c r="CA8" s="24">
        <f t="shared" si="5"/>
        <v>0</v>
      </c>
      <c r="CB8" s="24">
        <f t="shared" si="5"/>
        <v>0</v>
      </c>
      <c r="CC8" s="24">
        <f t="shared" si="5"/>
        <v>0</v>
      </c>
      <c r="CD8" s="24">
        <f t="shared" si="5"/>
        <v>5083517</v>
      </c>
      <c r="CE8" s="27">
        <f t="shared" si="6"/>
        <v>0</v>
      </c>
      <c r="CF8" s="24">
        <f t="shared" si="7"/>
        <v>0</v>
      </c>
      <c r="CG8" s="24"/>
      <c r="CH8" s="24"/>
      <c r="CI8" s="24"/>
      <c r="CJ8" s="24"/>
      <c r="CK8" s="24"/>
      <c r="CL8" s="24"/>
      <c r="CM8" s="24"/>
      <c r="CN8" s="24"/>
      <c r="CO8" s="24"/>
      <c r="CP8" s="24"/>
      <c r="CQ8" s="24"/>
      <c r="CR8" s="24"/>
      <c r="CS8" s="24"/>
      <c r="CT8" s="24"/>
      <c r="CU8" s="24"/>
      <c r="CV8" s="24"/>
      <c r="CW8" s="24"/>
      <c r="CX8" s="24"/>
      <c r="CY8" s="24"/>
      <c r="CZ8" s="24"/>
      <c r="DA8" s="24"/>
      <c r="DB8" s="24"/>
      <c r="DC8" s="24"/>
      <c r="DD8" s="27">
        <f t="shared" si="8"/>
        <v>1</v>
      </c>
      <c r="DE8" s="24">
        <f t="shared" si="13"/>
        <v>5083517</v>
      </c>
      <c r="DF8" s="24">
        <f t="shared" si="9"/>
        <v>0</v>
      </c>
      <c r="DG8" s="24">
        <f t="shared" si="9"/>
        <v>0</v>
      </c>
      <c r="DH8" s="24">
        <f t="shared" si="9"/>
        <v>0</v>
      </c>
      <c r="DI8" s="24">
        <f t="shared" si="9"/>
        <v>0</v>
      </c>
      <c r="DJ8" s="24">
        <f t="shared" si="9"/>
        <v>0</v>
      </c>
      <c r="DK8" s="24">
        <f t="shared" si="9"/>
        <v>0</v>
      </c>
      <c r="DL8" s="24">
        <f t="shared" si="9"/>
        <v>0</v>
      </c>
      <c r="DM8" s="24">
        <f t="shared" si="9"/>
        <v>0</v>
      </c>
      <c r="DN8" s="24">
        <f t="shared" si="9"/>
        <v>0</v>
      </c>
      <c r="DO8" s="24">
        <f t="shared" si="9"/>
        <v>0</v>
      </c>
      <c r="DP8" s="24">
        <f t="shared" si="9"/>
        <v>0</v>
      </c>
      <c r="DQ8" s="24">
        <f t="shared" si="9"/>
        <v>0</v>
      </c>
      <c r="DR8" s="24">
        <f t="shared" si="9"/>
        <v>0</v>
      </c>
      <c r="DS8" s="24">
        <f t="shared" si="9"/>
        <v>0</v>
      </c>
      <c r="DT8" s="24">
        <f t="shared" si="9"/>
        <v>0</v>
      </c>
      <c r="DU8" s="24">
        <f t="shared" si="9"/>
        <v>0</v>
      </c>
      <c r="DV8" s="24">
        <f t="shared" si="10"/>
        <v>0</v>
      </c>
      <c r="DW8" s="24">
        <f t="shared" si="10"/>
        <v>0</v>
      </c>
      <c r="DX8" s="24">
        <f t="shared" si="10"/>
        <v>0</v>
      </c>
      <c r="DY8" s="24">
        <f t="shared" si="10"/>
        <v>0</v>
      </c>
      <c r="DZ8" s="24">
        <f t="shared" si="10"/>
        <v>0</v>
      </c>
      <c r="EA8" s="24">
        <f t="shared" si="10"/>
        <v>0</v>
      </c>
      <c r="EB8" s="24">
        <f t="shared" si="10"/>
        <v>5083517</v>
      </c>
    </row>
    <row r="9" spans="1:138" ht="40.15" hidden="1" customHeight="1" x14ac:dyDescent="0.25">
      <c r="A9" s="32"/>
      <c r="B9" s="222"/>
      <c r="C9" s="20" t="s">
        <v>58</v>
      </c>
      <c r="D9" s="33" t="s">
        <v>59</v>
      </c>
      <c r="E9" s="22">
        <v>510</v>
      </c>
      <c r="F9" s="23" t="s">
        <v>60</v>
      </c>
      <c r="G9" s="24">
        <f t="shared" si="0"/>
        <v>54000000</v>
      </c>
      <c r="H9" s="25">
        <f>+[1]SF!$F13</f>
        <v>20000000</v>
      </c>
      <c r="I9" s="25">
        <f t="shared" si="11"/>
        <v>-34000000</v>
      </c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6">
        <f>7000000+15000000-2000000+10000000+25000000-1000000</f>
        <v>54000000</v>
      </c>
      <c r="AG9" s="27">
        <f t="shared" si="1"/>
        <v>0.7592592592592593</v>
      </c>
      <c r="AH9" s="24">
        <f t="shared" si="2"/>
        <v>41000000</v>
      </c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24"/>
      <c r="AU9" s="24"/>
      <c r="AV9" s="24"/>
      <c r="AW9" s="24"/>
      <c r="AX9" s="24"/>
      <c r="AY9" s="24"/>
      <c r="AZ9" s="24"/>
      <c r="BA9" s="24"/>
      <c r="BB9" s="24"/>
      <c r="BC9" s="24"/>
      <c r="BD9" s="24"/>
      <c r="BE9" s="24">
        <f>+[2]OCTUBRE!$AG$2894</f>
        <v>41000000</v>
      </c>
      <c r="BF9" s="27">
        <f t="shared" si="12"/>
        <v>0.2407407407407407</v>
      </c>
      <c r="BG9" s="24">
        <f t="shared" si="3"/>
        <v>13000000</v>
      </c>
      <c r="BH9" s="24">
        <f t="shared" si="4"/>
        <v>0</v>
      </c>
      <c r="BI9" s="24">
        <f t="shared" si="4"/>
        <v>0</v>
      </c>
      <c r="BJ9" s="24">
        <f t="shared" si="4"/>
        <v>0</v>
      </c>
      <c r="BK9" s="24">
        <f t="shared" si="4"/>
        <v>0</v>
      </c>
      <c r="BL9" s="24">
        <f t="shared" si="4"/>
        <v>0</v>
      </c>
      <c r="BM9" s="24">
        <f t="shared" si="4"/>
        <v>0</v>
      </c>
      <c r="BN9" s="24">
        <f t="shared" si="4"/>
        <v>0</v>
      </c>
      <c r="BO9" s="24">
        <f t="shared" si="4"/>
        <v>0</v>
      </c>
      <c r="BP9" s="24">
        <f t="shared" si="4"/>
        <v>0</v>
      </c>
      <c r="BQ9" s="24">
        <f t="shared" si="4"/>
        <v>0</v>
      </c>
      <c r="BR9" s="24">
        <f t="shared" si="4"/>
        <v>0</v>
      </c>
      <c r="BS9" s="24">
        <f t="shared" si="4"/>
        <v>0</v>
      </c>
      <c r="BT9" s="24">
        <f t="shared" si="4"/>
        <v>0</v>
      </c>
      <c r="BU9" s="24">
        <f t="shared" si="4"/>
        <v>0</v>
      </c>
      <c r="BV9" s="24">
        <f t="shared" si="4"/>
        <v>0</v>
      </c>
      <c r="BW9" s="24">
        <f t="shared" si="4"/>
        <v>0</v>
      </c>
      <c r="BX9" s="24">
        <f t="shared" si="5"/>
        <v>0</v>
      </c>
      <c r="BY9" s="24">
        <f t="shared" si="5"/>
        <v>0</v>
      </c>
      <c r="BZ9" s="24">
        <f t="shared" si="5"/>
        <v>0</v>
      </c>
      <c r="CA9" s="24">
        <f t="shared" si="5"/>
        <v>0</v>
      </c>
      <c r="CB9" s="24">
        <f t="shared" si="5"/>
        <v>0</v>
      </c>
      <c r="CC9" s="24">
        <f t="shared" si="5"/>
        <v>0</v>
      </c>
      <c r="CD9" s="24">
        <f t="shared" si="5"/>
        <v>13000000</v>
      </c>
      <c r="CE9" s="27">
        <f t="shared" si="6"/>
        <v>0.29604937037037038</v>
      </c>
      <c r="CF9" s="24">
        <f t="shared" si="7"/>
        <v>15986666</v>
      </c>
      <c r="CG9" s="24"/>
      <c r="CH9" s="24"/>
      <c r="CI9" s="24"/>
      <c r="CJ9" s="24"/>
      <c r="CK9" s="24"/>
      <c r="CL9" s="24"/>
      <c r="CM9" s="24"/>
      <c r="CN9" s="24"/>
      <c r="CO9" s="24"/>
      <c r="CP9" s="24"/>
      <c r="CQ9" s="24"/>
      <c r="CR9" s="24"/>
      <c r="CS9" s="24"/>
      <c r="CT9" s="24"/>
      <c r="CU9" s="24"/>
      <c r="CV9" s="24"/>
      <c r="CW9" s="24"/>
      <c r="CX9" s="24"/>
      <c r="CY9" s="24"/>
      <c r="CZ9" s="24"/>
      <c r="DA9" s="24"/>
      <c r="DB9" s="24"/>
      <c r="DC9" s="24">
        <f>+[3]SEPTIEMBRE!$H$2696</f>
        <v>15986666</v>
      </c>
      <c r="DD9" s="27">
        <f t="shared" si="8"/>
        <v>0.70395062962962962</v>
      </c>
      <c r="DE9" s="24">
        <f t="shared" si="13"/>
        <v>38013334</v>
      </c>
      <c r="DF9" s="24">
        <f t="shared" si="9"/>
        <v>0</v>
      </c>
      <c r="DG9" s="24">
        <f t="shared" si="9"/>
        <v>0</v>
      </c>
      <c r="DH9" s="24">
        <f t="shared" si="9"/>
        <v>0</v>
      </c>
      <c r="DI9" s="24">
        <f t="shared" si="9"/>
        <v>0</v>
      </c>
      <c r="DJ9" s="24">
        <f t="shared" si="9"/>
        <v>0</v>
      </c>
      <c r="DK9" s="24">
        <f t="shared" si="9"/>
        <v>0</v>
      </c>
      <c r="DL9" s="24">
        <f t="shared" si="9"/>
        <v>0</v>
      </c>
      <c r="DM9" s="24">
        <f t="shared" si="9"/>
        <v>0</v>
      </c>
      <c r="DN9" s="24">
        <f t="shared" si="9"/>
        <v>0</v>
      </c>
      <c r="DO9" s="24">
        <f t="shared" si="9"/>
        <v>0</v>
      </c>
      <c r="DP9" s="24">
        <f t="shared" si="9"/>
        <v>0</v>
      </c>
      <c r="DQ9" s="24">
        <f t="shared" si="9"/>
        <v>0</v>
      </c>
      <c r="DR9" s="24">
        <f t="shared" si="9"/>
        <v>0</v>
      </c>
      <c r="DS9" s="24">
        <f t="shared" si="9"/>
        <v>0</v>
      </c>
      <c r="DT9" s="24">
        <f t="shared" si="9"/>
        <v>0</v>
      </c>
      <c r="DU9" s="24">
        <f t="shared" si="9"/>
        <v>0</v>
      </c>
      <c r="DV9" s="24">
        <f t="shared" si="10"/>
        <v>0</v>
      </c>
      <c r="DW9" s="24">
        <f t="shared" si="10"/>
        <v>0</v>
      </c>
      <c r="DX9" s="24">
        <f t="shared" si="10"/>
        <v>0</v>
      </c>
      <c r="DY9" s="24">
        <f t="shared" si="10"/>
        <v>0</v>
      </c>
      <c r="DZ9" s="24">
        <f t="shared" si="10"/>
        <v>0</v>
      </c>
      <c r="EA9" s="24">
        <f t="shared" si="10"/>
        <v>0</v>
      </c>
      <c r="EB9" s="24">
        <f t="shared" si="10"/>
        <v>38013334</v>
      </c>
    </row>
    <row r="10" spans="1:138" ht="45" hidden="1" customHeight="1" x14ac:dyDescent="0.25">
      <c r="A10" s="32"/>
      <c r="B10" s="222"/>
      <c r="C10" s="20" t="s">
        <v>61</v>
      </c>
      <c r="D10" s="21" t="s">
        <v>62</v>
      </c>
      <c r="E10" s="22">
        <v>510</v>
      </c>
      <c r="F10" s="23" t="s">
        <v>53</v>
      </c>
      <c r="G10" s="24">
        <f t="shared" si="0"/>
        <v>449000000</v>
      </c>
      <c r="H10" s="25">
        <f>+[1]SF!$F14</f>
        <v>346400000</v>
      </c>
      <c r="I10" s="25">
        <f t="shared" si="11"/>
        <v>-102600000</v>
      </c>
      <c r="J10" s="24"/>
      <c r="K10" s="24">
        <f>30083517+4916483</f>
        <v>35000000</v>
      </c>
      <c r="L10" s="24"/>
      <c r="M10" s="24">
        <v>114000000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>
        <v>300000000</v>
      </c>
      <c r="AF10" s="26">
        <v>0</v>
      </c>
      <c r="AG10" s="27">
        <f t="shared" si="1"/>
        <v>1</v>
      </c>
      <c r="AH10" s="24">
        <f t="shared" si="2"/>
        <v>449000000</v>
      </c>
      <c r="AI10" s="24"/>
      <c r="AJ10" s="24">
        <f>+'[5]FEBRERO 2020'!$K$2602</f>
        <v>35000000</v>
      </c>
      <c r="AK10" s="24"/>
      <c r="AL10" s="24">
        <f>+[3]SEPTIEMBRE!$L$2713</f>
        <v>114000000</v>
      </c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>
        <f>+'[6]MARZO 2020'!$AF$2800</f>
        <v>300000000</v>
      </c>
      <c r="BE10" s="24"/>
      <c r="BF10" s="27">
        <f t="shared" si="12"/>
        <v>0</v>
      </c>
      <c r="BG10" s="24">
        <f t="shared" si="3"/>
        <v>0</v>
      </c>
      <c r="BH10" s="24">
        <f t="shared" si="4"/>
        <v>0</v>
      </c>
      <c r="BI10" s="24">
        <f t="shared" si="4"/>
        <v>0</v>
      </c>
      <c r="BJ10" s="24">
        <f t="shared" si="4"/>
        <v>0</v>
      </c>
      <c r="BK10" s="24">
        <f t="shared" si="4"/>
        <v>0</v>
      </c>
      <c r="BL10" s="24">
        <f t="shared" si="4"/>
        <v>0</v>
      </c>
      <c r="BM10" s="24">
        <f t="shared" si="4"/>
        <v>0</v>
      </c>
      <c r="BN10" s="24">
        <f t="shared" si="4"/>
        <v>0</v>
      </c>
      <c r="BO10" s="24">
        <f t="shared" si="4"/>
        <v>0</v>
      </c>
      <c r="BP10" s="24">
        <f t="shared" si="4"/>
        <v>0</v>
      </c>
      <c r="BQ10" s="24">
        <f t="shared" si="4"/>
        <v>0</v>
      </c>
      <c r="BR10" s="24">
        <f t="shared" si="4"/>
        <v>0</v>
      </c>
      <c r="BS10" s="24">
        <f t="shared" si="4"/>
        <v>0</v>
      </c>
      <c r="BT10" s="24">
        <f t="shared" si="4"/>
        <v>0</v>
      </c>
      <c r="BU10" s="24">
        <f t="shared" si="4"/>
        <v>0</v>
      </c>
      <c r="BV10" s="24">
        <f t="shared" si="4"/>
        <v>0</v>
      </c>
      <c r="BW10" s="24">
        <f t="shared" si="4"/>
        <v>0</v>
      </c>
      <c r="BX10" s="24">
        <f t="shared" si="5"/>
        <v>0</v>
      </c>
      <c r="BY10" s="24">
        <f t="shared" si="5"/>
        <v>0</v>
      </c>
      <c r="BZ10" s="24">
        <f t="shared" si="5"/>
        <v>0</v>
      </c>
      <c r="CA10" s="24">
        <f t="shared" si="5"/>
        <v>0</v>
      </c>
      <c r="CB10" s="24">
        <f t="shared" si="5"/>
        <v>0</v>
      </c>
      <c r="CC10" s="24">
        <f t="shared" si="5"/>
        <v>0</v>
      </c>
      <c r="CD10" s="24">
        <f t="shared" si="5"/>
        <v>0</v>
      </c>
      <c r="CE10" s="27">
        <f t="shared" si="6"/>
        <v>7.7951002227171495E-2</v>
      </c>
      <c r="CF10" s="24">
        <f t="shared" si="7"/>
        <v>35000000</v>
      </c>
      <c r="CG10" s="24"/>
      <c r="CH10" s="24">
        <f>+'[5]FEBRERO 2020'!$H$2600</f>
        <v>35000000</v>
      </c>
      <c r="CI10" s="24"/>
      <c r="CJ10" s="24"/>
      <c r="CK10" s="24"/>
      <c r="CL10" s="24"/>
      <c r="CM10" s="24"/>
      <c r="CN10" s="24"/>
      <c r="CO10" s="24"/>
      <c r="CP10" s="24"/>
      <c r="CQ10" s="24"/>
      <c r="CR10" s="24"/>
      <c r="CS10" s="24"/>
      <c r="CT10" s="24"/>
      <c r="CU10" s="24"/>
      <c r="CV10" s="24"/>
      <c r="CW10" s="24"/>
      <c r="CX10" s="24"/>
      <c r="CY10" s="24"/>
      <c r="CZ10" s="24"/>
      <c r="DA10" s="24"/>
      <c r="DB10" s="24"/>
      <c r="DC10" s="24"/>
      <c r="DD10" s="27">
        <f t="shared" si="8"/>
        <v>0.92204899777282856</v>
      </c>
      <c r="DE10" s="24">
        <f t="shared" si="13"/>
        <v>414000000</v>
      </c>
      <c r="DF10" s="24">
        <f t="shared" si="9"/>
        <v>0</v>
      </c>
      <c r="DG10" s="24">
        <f t="shared" si="9"/>
        <v>0</v>
      </c>
      <c r="DH10" s="24">
        <f t="shared" si="9"/>
        <v>0</v>
      </c>
      <c r="DI10" s="24">
        <f t="shared" si="9"/>
        <v>114000000</v>
      </c>
      <c r="DJ10" s="24">
        <f t="shared" si="9"/>
        <v>0</v>
      </c>
      <c r="DK10" s="24">
        <f t="shared" si="9"/>
        <v>0</v>
      </c>
      <c r="DL10" s="24">
        <f t="shared" si="9"/>
        <v>0</v>
      </c>
      <c r="DM10" s="24">
        <f t="shared" si="9"/>
        <v>0</v>
      </c>
      <c r="DN10" s="24">
        <f t="shared" si="9"/>
        <v>0</v>
      </c>
      <c r="DO10" s="24">
        <f t="shared" si="9"/>
        <v>0</v>
      </c>
      <c r="DP10" s="24">
        <f t="shared" si="9"/>
        <v>0</v>
      </c>
      <c r="DQ10" s="24">
        <f t="shared" si="9"/>
        <v>0</v>
      </c>
      <c r="DR10" s="24">
        <f t="shared" si="9"/>
        <v>0</v>
      </c>
      <c r="DS10" s="24">
        <f t="shared" si="9"/>
        <v>0</v>
      </c>
      <c r="DT10" s="24">
        <f t="shared" si="9"/>
        <v>0</v>
      </c>
      <c r="DU10" s="24">
        <f t="shared" si="9"/>
        <v>0</v>
      </c>
      <c r="DV10" s="24">
        <f t="shared" si="10"/>
        <v>0</v>
      </c>
      <c r="DW10" s="24">
        <f t="shared" si="10"/>
        <v>0</v>
      </c>
      <c r="DX10" s="24">
        <f t="shared" si="10"/>
        <v>0</v>
      </c>
      <c r="DY10" s="24">
        <f t="shared" si="10"/>
        <v>0</v>
      </c>
      <c r="DZ10" s="24">
        <f t="shared" si="10"/>
        <v>0</v>
      </c>
      <c r="EA10" s="24">
        <f t="shared" si="10"/>
        <v>300000000</v>
      </c>
      <c r="EB10" s="24">
        <f t="shared" si="10"/>
        <v>0</v>
      </c>
    </row>
    <row r="11" spans="1:138" ht="33" hidden="1" customHeight="1" x14ac:dyDescent="0.25">
      <c r="A11" s="32"/>
      <c r="B11" s="222"/>
      <c r="C11" s="20" t="s">
        <v>63</v>
      </c>
      <c r="D11" s="21" t="s">
        <v>64</v>
      </c>
      <c r="E11" s="22">
        <v>510</v>
      </c>
      <c r="F11" s="23" t="s">
        <v>53</v>
      </c>
      <c r="G11" s="24">
        <f t="shared" si="0"/>
        <v>215133503</v>
      </c>
      <c r="H11" s="25">
        <f>+[1]SF!$F15</f>
        <v>225000000</v>
      </c>
      <c r="I11" s="25">
        <f t="shared" si="11"/>
        <v>9866497</v>
      </c>
      <c r="J11" s="24"/>
      <c r="K11" s="24">
        <v>15000000</v>
      </c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>
        <v>200133503</v>
      </c>
      <c r="AF11" s="26">
        <v>0</v>
      </c>
      <c r="AG11" s="27">
        <f t="shared" si="1"/>
        <v>0.77858630880007562</v>
      </c>
      <c r="AH11" s="24">
        <f t="shared" si="2"/>
        <v>167500000</v>
      </c>
      <c r="AI11" s="24"/>
      <c r="AJ11" s="24">
        <f>+'[5]FEBRERO 2020'!$K$2613</f>
        <v>15000000</v>
      </c>
      <c r="AK11" s="24"/>
      <c r="AL11" s="24"/>
      <c r="AM11" s="24"/>
      <c r="AN11" s="24"/>
      <c r="AO11" s="24"/>
      <c r="AP11" s="24"/>
      <c r="AQ11" s="24"/>
      <c r="AR11" s="24"/>
      <c r="AS11" s="24"/>
      <c r="AT11" s="24"/>
      <c r="AU11" s="24"/>
      <c r="AV11" s="24"/>
      <c r="AW11" s="24"/>
      <c r="AX11" s="24"/>
      <c r="AY11" s="24"/>
      <c r="AZ11" s="24"/>
      <c r="BA11" s="24"/>
      <c r="BB11" s="24"/>
      <c r="BC11" s="24"/>
      <c r="BD11" s="24">
        <f>+[2]OCTUBRE!$AF$2930</f>
        <v>152500000</v>
      </c>
      <c r="BE11" s="24"/>
      <c r="BF11" s="27">
        <f t="shared" si="12"/>
        <v>0.22141369119992438</v>
      </c>
      <c r="BG11" s="24">
        <f t="shared" si="3"/>
        <v>47633503</v>
      </c>
      <c r="BH11" s="24">
        <f t="shared" si="4"/>
        <v>0</v>
      </c>
      <c r="BI11" s="24">
        <f t="shared" si="4"/>
        <v>0</v>
      </c>
      <c r="BJ11" s="24">
        <f t="shared" si="4"/>
        <v>0</v>
      </c>
      <c r="BK11" s="24">
        <f t="shared" si="4"/>
        <v>0</v>
      </c>
      <c r="BL11" s="24">
        <f t="shared" si="4"/>
        <v>0</v>
      </c>
      <c r="BM11" s="24">
        <f t="shared" si="4"/>
        <v>0</v>
      </c>
      <c r="BN11" s="24">
        <f t="shared" si="4"/>
        <v>0</v>
      </c>
      <c r="BO11" s="24">
        <f t="shared" si="4"/>
        <v>0</v>
      </c>
      <c r="BP11" s="24">
        <f t="shared" si="4"/>
        <v>0</v>
      </c>
      <c r="BQ11" s="24">
        <f t="shared" si="4"/>
        <v>0</v>
      </c>
      <c r="BR11" s="24">
        <f t="shared" si="4"/>
        <v>0</v>
      </c>
      <c r="BS11" s="24">
        <f t="shared" si="4"/>
        <v>0</v>
      </c>
      <c r="BT11" s="24">
        <f t="shared" si="4"/>
        <v>0</v>
      </c>
      <c r="BU11" s="24">
        <f t="shared" si="4"/>
        <v>0</v>
      </c>
      <c r="BV11" s="24">
        <f t="shared" si="4"/>
        <v>0</v>
      </c>
      <c r="BW11" s="24">
        <f t="shared" si="4"/>
        <v>0</v>
      </c>
      <c r="BX11" s="24">
        <f t="shared" si="5"/>
        <v>0</v>
      </c>
      <c r="BY11" s="24">
        <f t="shared" si="5"/>
        <v>0</v>
      </c>
      <c r="BZ11" s="24">
        <f t="shared" si="5"/>
        <v>0</v>
      </c>
      <c r="CA11" s="24">
        <f t="shared" si="5"/>
        <v>0</v>
      </c>
      <c r="CB11" s="24">
        <f t="shared" si="5"/>
        <v>0</v>
      </c>
      <c r="CC11" s="24">
        <f t="shared" si="5"/>
        <v>47633503</v>
      </c>
      <c r="CD11" s="24">
        <f t="shared" si="5"/>
        <v>0</v>
      </c>
      <c r="CE11" s="27">
        <f t="shared" si="6"/>
        <v>0.33175833612489453</v>
      </c>
      <c r="CF11" s="24">
        <f t="shared" si="7"/>
        <v>71372333</v>
      </c>
      <c r="CG11" s="24"/>
      <c r="CH11" s="24">
        <f>+[2]OCTUBRE!$H$2931</f>
        <v>14699000</v>
      </c>
      <c r="CI11" s="24"/>
      <c r="CJ11" s="24"/>
      <c r="CK11" s="24"/>
      <c r="CL11" s="24"/>
      <c r="CM11" s="24"/>
      <c r="CN11" s="24"/>
      <c r="CO11" s="24"/>
      <c r="CP11" s="24"/>
      <c r="CQ11" s="24"/>
      <c r="CR11" s="24"/>
      <c r="CS11" s="24"/>
      <c r="CT11" s="24"/>
      <c r="CU11" s="24"/>
      <c r="CV11" s="24"/>
      <c r="CW11" s="24"/>
      <c r="CX11" s="24"/>
      <c r="CY11" s="24"/>
      <c r="CZ11" s="24"/>
      <c r="DA11" s="24"/>
      <c r="DB11" s="24">
        <f>+[2]OCTUBRE!$H$2937+[2]OCTUBRE!$H$2940</f>
        <v>56673333</v>
      </c>
      <c r="DC11" s="24"/>
      <c r="DD11" s="27">
        <f t="shared" si="8"/>
        <v>0.66824166387510542</v>
      </c>
      <c r="DE11" s="24">
        <f t="shared" si="13"/>
        <v>143761170</v>
      </c>
      <c r="DF11" s="24">
        <f t="shared" si="9"/>
        <v>0</v>
      </c>
      <c r="DG11" s="24">
        <f t="shared" si="9"/>
        <v>301000</v>
      </c>
      <c r="DH11" s="24">
        <f t="shared" si="9"/>
        <v>0</v>
      </c>
      <c r="DI11" s="24">
        <f t="shared" si="9"/>
        <v>0</v>
      </c>
      <c r="DJ11" s="24">
        <f t="shared" si="9"/>
        <v>0</v>
      </c>
      <c r="DK11" s="24">
        <f t="shared" si="9"/>
        <v>0</v>
      </c>
      <c r="DL11" s="24">
        <f t="shared" si="9"/>
        <v>0</v>
      </c>
      <c r="DM11" s="24">
        <f t="shared" si="9"/>
        <v>0</v>
      </c>
      <c r="DN11" s="24">
        <f t="shared" si="9"/>
        <v>0</v>
      </c>
      <c r="DO11" s="24">
        <f t="shared" si="9"/>
        <v>0</v>
      </c>
      <c r="DP11" s="24">
        <f t="shared" si="9"/>
        <v>0</v>
      </c>
      <c r="DQ11" s="24">
        <f t="shared" si="9"/>
        <v>0</v>
      </c>
      <c r="DR11" s="24">
        <f t="shared" si="9"/>
        <v>0</v>
      </c>
      <c r="DS11" s="24">
        <f t="shared" si="9"/>
        <v>0</v>
      </c>
      <c r="DT11" s="24">
        <f t="shared" si="9"/>
        <v>0</v>
      </c>
      <c r="DU11" s="24">
        <f t="shared" si="9"/>
        <v>0</v>
      </c>
      <c r="DV11" s="24">
        <f t="shared" si="10"/>
        <v>0</v>
      </c>
      <c r="DW11" s="24">
        <f t="shared" si="10"/>
        <v>0</v>
      </c>
      <c r="DX11" s="24">
        <f t="shared" si="10"/>
        <v>0</v>
      </c>
      <c r="DY11" s="24">
        <f t="shared" si="10"/>
        <v>0</v>
      </c>
      <c r="DZ11" s="24">
        <f t="shared" si="10"/>
        <v>0</v>
      </c>
      <c r="EA11" s="24">
        <f t="shared" si="10"/>
        <v>143460170</v>
      </c>
      <c r="EB11" s="24">
        <f t="shared" si="10"/>
        <v>0</v>
      </c>
    </row>
    <row r="12" spans="1:138" ht="20.45" hidden="1" customHeight="1" x14ac:dyDescent="0.25">
      <c r="A12" s="32"/>
      <c r="B12" s="223" t="s">
        <v>65</v>
      </c>
      <c r="C12" s="34" t="s">
        <v>66</v>
      </c>
      <c r="D12" s="21" t="s">
        <v>67</v>
      </c>
      <c r="E12" s="22">
        <v>310</v>
      </c>
      <c r="F12" s="23" t="s">
        <v>53</v>
      </c>
      <c r="G12" s="24">
        <f t="shared" si="0"/>
        <v>150000000</v>
      </c>
      <c r="H12" s="25">
        <f>+[1]SF!$F22</f>
        <v>15000000</v>
      </c>
      <c r="I12" s="25">
        <f t="shared" si="11"/>
        <v>-135000000</v>
      </c>
      <c r="J12" s="24"/>
      <c r="K12" s="24"/>
      <c r="L12" s="24"/>
      <c r="M12" s="24">
        <v>150000000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6">
        <v>0</v>
      </c>
      <c r="AG12" s="27">
        <f t="shared" si="1"/>
        <v>0</v>
      </c>
      <c r="AH12" s="24">
        <f t="shared" si="2"/>
        <v>0</v>
      </c>
      <c r="AI12" s="24"/>
      <c r="AJ12" s="24"/>
      <c r="AK12" s="24"/>
      <c r="AL12" s="24"/>
      <c r="AM12" s="24"/>
      <c r="AN12" s="24"/>
      <c r="AO12" s="24"/>
      <c r="AP12" s="24"/>
      <c r="AQ12" s="24"/>
      <c r="AR12" s="24"/>
      <c r="AS12" s="24"/>
      <c r="AT12" s="24"/>
      <c r="AU12" s="24"/>
      <c r="AV12" s="24"/>
      <c r="AW12" s="24"/>
      <c r="AX12" s="24"/>
      <c r="AY12" s="24"/>
      <c r="AZ12" s="24"/>
      <c r="BA12" s="24"/>
      <c r="BB12" s="24"/>
      <c r="BC12" s="24"/>
      <c r="BD12" s="24"/>
      <c r="BE12" s="24"/>
      <c r="BF12" s="27">
        <f t="shared" si="12"/>
        <v>1</v>
      </c>
      <c r="BG12" s="24">
        <f t="shared" si="3"/>
        <v>150000000</v>
      </c>
      <c r="BH12" s="24">
        <f t="shared" si="4"/>
        <v>0</v>
      </c>
      <c r="BI12" s="24">
        <f t="shared" si="4"/>
        <v>0</v>
      </c>
      <c r="BJ12" s="24">
        <f t="shared" si="4"/>
        <v>0</v>
      </c>
      <c r="BK12" s="24">
        <f t="shared" si="4"/>
        <v>150000000</v>
      </c>
      <c r="BL12" s="24">
        <f t="shared" si="4"/>
        <v>0</v>
      </c>
      <c r="BM12" s="24">
        <f t="shared" si="4"/>
        <v>0</v>
      </c>
      <c r="BN12" s="24">
        <f t="shared" si="4"/>
        <v>0</v>
      </c>
      <c r="BO12" s="24">
        <f t="shared" si="4"/>
        <v>0</v>
      </c>
      <c r="BP12" s="24">
        <f t="shared" si="4"/>
        <v>0</v>
      </c>
      <c r="BQ12" s="24">
        <f t="shared" si="4"/>
        <v>0</v>
      </c>
      <c r="BR12" s="24">
        <f t="shared" si="4"/>
        <v>0</v>
      </c>
      <c r="BS12" s="24">
        <f t="shared" si="4"/>
        <v>0</v>
      </c>
      <c r="BT12" s="24">
        <f t="shared" si="4"/>
        <v>0</v>
      </c>
      <c r="BU12" s="24">
        <f t="shared" si="4"/>
        <v>0</v>
      </c>
      <c r="BV12" s="24">
        <f t="shared" si="4"/>
        <v>0</v>
      </c>
      <c r="BW12" s="24">
        <f t="shared" si="4"/>
        <v>0</v>
      </c>
      <c r="BX12" s="24">
        <f t="shared" si="5"/>
        <v>0</v>
      </c>
      <c r="BY12" s="24">
        <f t="shared" si="5"/>
        <v>0</v>
      </c>
      <c r="BZ12" s="24">
        <f t="shared" si="5"/>
        <v>0</v>
      </c>
      <c r="CA12" s="24">
        <f t="shared" si="5"/>
        <v>0</v>
      </c>
      <c r="CB12" s="24">
        <f t="shared" si="5"/>
        <v>0</v>
      </c>
      <c r="CC12" s="24">
        <f t="shared" si="5"/>
        <v>0</v>
      </c>
      <c r="CD12" s="24">
        <f t="shared" si="5"/>
        <v>0</v>
      </c>
      <c r="CE12" s="27">
        <f t="shared" si="6"/>
        <v>0</v>
      </c>
      <c r="CF12" s="24">
        <f t="shared" si="7"/>
        <v>0</v>
      </c>
      <c r="CG12" s="24"/>
      <c r="CH12" s="24"/>
      <c r="CI12" s="24"/>
      <c r="CJ12" s="24"/>
      <c r="CK12" s="24"/>
      <c r="CL12" s="24"/>
      <c r="CM12" s="24"/>
      <c r="CN12" s="24"/>
      <c r="CO12" s="24"/>
      <c r="CP12" s="24"/>
      <c r="CQ12" s="24"/>
      <c r="CR12" s="24"/>
      <c r="CS12" s="24"/>
      <c r="CT12" s="24"/>
      <c r="CU12" s="24"/>
      <c r="CV12" s="24"/>
      <c r="CW12" s="24"/>
      <c r="CX12" s="24"/>
      <c r="CY12" s="24"/>
      <c r="CZ12" s="24"/>
      <c r="DA12" s="24"/>
      <c r="DB12" s="24"/>
      <c r="DC12" s="24"/>
      <c r="DD12" s="27">
        <f t="shared" si="8"/>
        <v>1</v>
      </c>
      <c r="DE12" s="24">
        <f t="shared" si="13"/>
        <v>150000000</v>
      </c>
      <c r="DF12" s="24">
        <f t="shared" si="9"/>
        <v>0</v>
      </c>
      <c r="DG12" s="24">
        <f t="shared" si="9"/>
        <v>0</v>
      </c>
      <c r="DH12" s="24">
        <f t="shared" si="9"/>
        <v>0</v>
      </c>
      <c r="DI12" s="24">
        <f t="shared" si="9"/>
        <v>150000000</v>
      </c>
      <c r="DJ12" s="24">
        <f t="shared" si="9"/>
        <v>0</v>
      </c>
      <c r="DK12" s="24">
        <f t="shared" si="9"/>
        <v>0</v>
      </c>
      <c r="DL12" s="24">
        <f t="shared" si="9"/>
        <v>0</v>
      </c>
      <c r="DM12" s="24">
        <f t="shared" si="9"/>
        <v>0</v>
      </c>
      <c r="DN12" s="24">
        <f t="shared" si="9"/>
        <v>0</v>
      </c>
      <c r="DO12" s="24">
        <f t="shared" si="9"/>
        <v>0</v>
      </c>
      <c r="DP12" s="24">
        <f t="shared" si="9"/>
        <v>0</v>
      </c>
      <c r="DQ12" s="24">
        <f t="shared" si="9"/>
        <v>0</v>
      </c>
      <c r="DR12" s="24">
        <f t="shared" si="9"/>
        <v>0</v>
      </c>
      <c r="DS12" s="24">
        <f t="shared" si="9"/>
        <v>0</v>
      </c>
      <c r="DT12" s="24">
        <f t="shared" si="9"/>
        <v>0</v>
      </c>
      <c r="DU12" s="24">
        <f t="shared" si="9"/>
        <v>0</v>
      </c>
      <c r="DV12" s="24">
        <f t="shared" si="10"/>
        <v>0</v>
      </c>
      <c r="DW12" s="24">
        <f t="shared" si="10"/>
        <v>0</v>
      </c>
      <c r="DX12" s="24">
        <f t="shared" si="10"/>
        <v>0</v>
      </c>
      <c r="DY12" s="24">
        <f t="shared" si="10"/>
        <v>0</v>
      </c>
      <c r="DZ12" s="24">
        <f t="shared" si="10"/>
        <v>0</v>
      </c>
      <c r="EA12" s="24">
        <f t="shared" si="10"/>
        <v>0</v>
      </c>
      <c r="EB12" s="24">
        <f t="shared" si="10"/>
        <v>0</v>
      </c>
    </row>
    <row r="13" spans="1:138" ht="25.15" hidden="1" customHeight="1" x14ac:dyDescent="0.25">
      <c r="A13" s="32"/>
      <c r="B13" s="224"/>
      <c r="C13" s="34" t="s">
        <v>68</v>
      </c>
      <c r="D13" s="35" t="s">
        <v>69</v>
      </c>
      <c r="E13" s="22">
        <v>310</v>
      </c>
      <c r="F13" s="23" t="s">
        <v>70</v>
      </c>
      <c r="G13" s="24">
        <f t="shared" si="0"/>
        <v>182490457</v>
      </c>
      <c r="H13" s="25">
        <f>+[1]SF!$F23</f>
        <v>1166707400.67272</v>
      </c>
      <c r="I13" s="25">
        <f t="shared" si="11"/>
        <v>984216943.67271996</v>
      </c>
      <c r="J13" s="24"/>
      <c r="K13" s="24"/>
      <c r="L13" s="24"/>
      <c r="M13" s="24">
        <v>17990457</v>
      </c>
      <c r="N13" s="24"/>
      <c r="O13" s="24"/>
      <c r="P13" s="24"/>
      <c r="Q13" s="24"/>
      <c r="R13" s="24"/>
      <c r="S13" s="24"/>
      <c r="T13" s="24"/>
      <c r="U13" s="24">
        <f>100000000+50000000</f>
        <v>150000000</v>
      </c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6">
        <f>20000000-3000000-5000000+2500000</f>
        <v>14500000</v>
      </c>
      <c r="AG13" s="27">
        <f t="shared" si="1"/>
        <v>0.90141699847899448</v>
      </c>
      <c r="AH13" s="24">
        <f t="shared" si="2"/>
        <v>164500000</v>
      </c>
      <c r="AI13" s="24"/>
      <c r="AJ13" s="24"/>
      <c r="AK13" s="24"/>
      <c r="AL13" s="24"/>
      <c r="AM13" s="24"/>
      <c r="AN13" s="24"/>
      <c r="AO13" s="24"/>
      <c r="AP13" s="24"/>
      <c r="AQ13" s="24"/>
      <c r="AR13" s="24"/>
      <c r="AS13" s="24"/>
      <c r="AT13" s="24">
        <f>+'[5]FEBRERO 2020'!$U$350</f>
        <v>150000000</v>
      </c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>
        <f>+[2]OCTUBRE!$AG$496</f>
        <v>14500000</v>
      </c>
      <c r="BF13" s="27">
        <f t="shared" si="12"/>
        <v>9.858300152100552E-2</v>
      </c>
      <c r="BG13" s="24">
        <f t="shared" si="3"/>
        <v>17990457</v>
      </c>
      <c r="BH13" s="24">
        <f t="shared" si="4"/>
        <v>0</v>
      </c>
      <c r="BI13" s="24">
        <f t="shared" si="4"/>
        <v>0</v>
      </c>
      <c r="BJ13" s="24">
        <f t="shared" si="4"/>
        <v>0</v>
      </c>
      <c r="BK13" s="24">
        <f t="shared" si="4"/>
        <v>17990457</v>
      </c>
      <c r="BL13" s="24">
        <f t="shared" si="4"/>
        <v>0</v>
      </c>
      <c r="BM13" s="24">
        <f t="shared" si="4"/>
        <v>0</v>
      </c>
      <c r="BN13" s="24">
        <f t="shared" si="4"/>
        <v>0</v>
      </c>
      <c r="BO13" s="24">
        <f t="shared" si="4"/>
        <v>0</v>
      </c>
      <c r="BP13" s="24">
        <f t="shared" si="4"/>
        <v>0</v>
      </c>
      <c r="BQ13" s="24">
        <f t="shared" si="4"/>
        <v>0</v>
      </c>
      <c r="BR13" s="24">
        <f t="shared" si="4"/>
        <v>0</v>
      </c>
      <c r="BS13" s="24">
        <f t="shared" si="4"/>
        <v>0</v>
      </c>
      <c r="BT13" s="24">
        <f t="shared" si="4"/>
        <v>0</v>
      </c>
      <c r="BU13" s="24">
        <f t="shared" si="4"/>
        <v>0</v>
      </c>
      <c r="BV13" s="24">
        <f t="shared" si="4"/>
        <v>0</v>
      </c>
      <c r="BW13" s="24">
        <f t="shared" si="4"/>
        <v>0</v>
      </c>
      <c r="BX13" s="24">
        <f t="shared" si="5"/>
        <v>0</v>
      </c>
      <c r="BY13" s="24">
        <f t="shared" si="5"/>
        <v>0</v>
      </c>
      <c r="BZ13" s="24">
        <f t="shared" si="5"/>
        <v>0</v>
      </c>
      <c r="CA13" s="24">
        <f t="shared" si="5"/>
        <v>0</v>
      </c>
      <c r="CB13" s="24">
        <f t="shared" si="5"/>
        <v>0</v>
      </c>
      <c r="CC13" s="24">
        <f t="shared" si="5"/>
        <v>0</v>
      </c>
      <c r="CD13" s="24">
        <f t="shared" si="5"/>
        <v>0</v>
      </c>
      <c r="CE13" s="27">
        <f t="shared" si="6"/>
        <v>0.53951788284469038</v>
      </c>
      <c r="CF13" s="24">
        <f t="shared" si="7"/>
        <v>98456865</v>
      </c>
      <c r="CG13" s="24"/>
      <c r="CH13" s="24"/>
      <c r="CI13" s="24"/>
      <c r="CJ13" s="24"/>
      <c r="CK13" s="24"/>
      <c r="CL13" s="24"/>
      <c r="CM13" s="24"/>
      <c r="CN13" s="24"/>
      <c r="CO13" s="24"/>
      <c r="CP13" s="24"/>
      <c r="CQ13" s="24"/>
      <c r="CR13" s="24">
        <f>+[2]OCTUBRE!$H$506</f>
        <v>89394722</v>
      </c>
      <c r="CS13" s="24"/>
      <c r="CT13" s="24"/>
      <c r="CU13" s="24"/>
      <c r="CV13" s="24"/>
      <c r="CW13" s="24"/>
      <c r="CX13" s="24"/>
      <c r="CY13" s="24"/>
      <c r="CZ13" s="24"/>
      <c r="DA13" s="24"/>
      <c r="DB13" s="24"/>
      <c r="DC13" s="24">
        <f>+[2]OCTUBRE!$H$497</f>
        <v>9062143</v>
      </c>
      <c r="DD13" s="27">
        <f t="shared" si="8"/>
        <v>0.46048211715530962</v>
      </c>
      <c r="DE13" s="24">
        <f t="shared" si="13"/>
        <v>84033592</v>
      </c>
      <c r="DF13" s="24">
        <f t="shared" si="9"/>
        <v>0</v>
      </c>
      <c r="DG13" s="24">
        <f t="shared" si="9"/>
        <v>0</v>
      </c>
      <c r="DH13" s="24">
        <f t="shared" si="9"/>
        <v>0</v>
      </c>
      <c r="DI13" s="24">
        <f t="shared" si="9"/>
        <v>17990457</v>
      </c>
      <c r="DJ13" s="24">
        <f t="shared" si="9"/>
        <v>0</v>
      </c>
      <c r="DK13" s="24">
        <f t="shared" si="9"/>
        <v>0</v>
      </c>
      <c r="DL13" s="24">
        <f t="shared" si="9"/>
        <v>0</v>
      </c>
      <c r="DM13" s="24">
        <f t="shared" si="9"/>
        <v>0</v>
      </c>
      <c r="DN13" s="24">
        <f t="shared" si="9"/>
        <v>0</v>
      </c>
      <c r="DO13" s="24">
        <f t="shared" si="9"/>
        <v>0</v>
      </c>
      <c r="DP13" s="24">
        <f t="shared" si="9"/>
        <v>0</v>
      </c>
      <c r="DQ13" s="24">
        <f t="shared" si="9"/>
        <v>60605278</v>
      </c>
      <c r="DR13" s="24">
        <f t="shared" si="9"/>
        <v>0</v>
      </c>
      <c r="DS13" s="24">
        <f t="shared" si="9"/>
        <v>0</v>
      </c>
      <c r="DT13" s="24">
        <f t="shared" si="9"/>
        <v>0</v>
      </c>
      <c r="DU13" s="24">
        <f t="shared" si="9"/>
        <v>0</v>
      </c>
      <c r="DV13" s="24">
        <f t="shared" si="10"/>
        <v>0</v>
      </c>
      <c r="DW13" s="24">
        <f t="shared" si="10"/>
        <v>0</v>
      </c>
      <c r="DX13" s="24">
        <f t="shared" si="10"/>
        <v>0</v>
      </c>
      <c r="DY13" s="24">
        <f t="shared" si="10"/>
        <v>0</v>
      </c>
      <c r="DZ13" s="24">
        <f t="shared" si="10"/>
        <v>0</v>
      </c>
      <c r="EA13" s="24">
        <f t="shared" si="10"/>
        <v>0</v>
      </c>
      <c r="EB13" s="24">
        <f t="shared" si="10"/>
        <v>5437857</v>
      </c>
    </row>
    <row r="14" spans="1:138" ht="21" hidden="1" customHeight="1" x14ac:dyDescent="0.25">
      <c r="A14" s="32"/>
      <c r="B14" s="224"/>
      <c r="C14" s="20" t="s">
        <v>71</v>
      </c>
      <c r="D14" s="35" t="s">
        <v>72</v>
      </c>
      <c r="E14" s="22">
        <v>310</v>
      </c>
      <c r="F14" s="23" t="s">
        <v>53</v>
      </c>
      <c r="G14" s="24">
        <f t="shared" si="0"/>
        <v>0</v>
      </c>
      <c r="H14" s="25">
        <f>+[1]SF!$F24</f>
        <v>90000000</v>
      </c>
      <c r="I14" s="25">
        <f t="shared" si="11"/>
        <v>90000000</v>
      </c>
      <c r="J14" s="24"/>
      <c r="K14" s="24"/>
      <c r="L14" s="24"/>
      <c r="M14" s="24"/>
      <c r="N14" s="24"/>
      <c r="O14" s="24"/>
      <c r="P14" s="24"/>
      <c r="Q14" s="24"/>
      <c r="R14" s="24"/>
      <c r="S14" s="24"/>
      <c r="T14" s="24"/>
      <c r="U14" s="24">
        <f>50000000-50000000</f>
        <v>0</v>
      </c>
      <c r="V14" s="24"/>
      <c r="W14" s="24"/>
      <c r="X14" s="24"/>
      <c r="Y14" s="24"/>
      <c r="Z14" s="24"/>
      <c r="AA14" s="24"/>
      <c r="AB14" s="24"/>
      <c r="AC14" s="24"/>
      <c r="AD14" s="24"/>
      <c r="AE14" s="24"/>
      <c r="AF14" s="26">
        <v>0</v>
      </c>
      <c r="AG14" s="27" t="e">
        <f t="shared" si="1"/>
        <v>#DIV/0!</v>
      </c>
      <c r="AH14" s="24">
        <f t="shared" si="2"/>
        <v>0</v>
      </c>
      <c r="AI14" s="24"/>
      <c r="AJ14" s="24"/>
      <c r="AK14" s="24"/>
      <c r="AL14" s="24"/>
      <c r="AM14" s="24"/>
      <c r="AN14" s="24"/>
      <c r="AO14" s="24"/>
      <c r="AP14" s="24"/>
      <c r="AQ14" s="24"/>
      <c r="AR14" s="24"/>
      <c r="AS14" s="24"/>
      <c r="AT14" s="24"/>
      <c r="AU14" s="24"/>
      <c r="AV14" s="24"/>
      <c r="AW14" s="24"/>
      <c r="AX14" s="24"/>
      <c r="AY14" s="24"/>
      <c r="AZ14" s="24"/>
      <c r="BA14" s="24"/>
      <c r="BB14" s="24"/>
      <c r="BC14" s="24"/>
      <c r="BD14" s="24"/>
      <c r="BE14" s="24"/>
      <c r="BF14" s="27" t="e">
        <f t="shared" si="12"/>
        <v>#DIV/0!</v>
      </c>
      <c r="BG14" s="24">
        <f t="shared" si="3"/>
        <v>0</v>
      </c>
      <c r="BH14" s="24">
        <f t="shared" si="4"/>
        <v>0</v>
      </c>
      <c r="BI14" s="24">
        <f t="shared" si="4"/>
        <v>0</v>
      </c>
      <c r="BJ14" s="24">
        <f t="shared" si="4"/>
        <v>0</v>
      </c>
      <c r="BK14" s="24">
        <f t="shared" si="4"/>
        <v>0</v>
      </c>
      <c r="BL14" s="24">
        <f t="shared" si="4"/>
        <v>0</v>
      </c>
      <c r="BM14" s="24">
        <f t="shared" si="4"/>
        <v>0</v>
      </c>
      <c r="BN14" s="24">
        <f t="shared" si="4"/>
        <v>0</v>
      </c>
      <c r="BO14" s="24">
        <f t="shared" si="4"/>
        <v>0</v>
      </c>
      <c r="BP14" s="24">
        <f t="shared" si="4"/>
        <v>0</v>
      </c>
      <c r="BQ14" s="24">
        <f t="shared" si="4"/>
        <v>0</v>
      </c>
      <c r="BR14" s="24">
        <f t="shared" si="4"/>
        <v>0</v>
      </c>
      <c r="BS14" s="24">
        <f t="shared" si="4"/>
        <v>0</v>
      </c>
      <c r="BT14" s="24">
        <f t="shared" si="4"/>
        <v>0</v>
      </c>
      <c r="BU14" s="24">
        <f t="shared" si="4"/>
        <v>0</v>
      </c>
      <c r="BV14" s="24">
        <f t="shared" si="4"/>
        <v>0</v>
      </c>
      <c r="BW14" s="24">
        <f t="shared" si="4"/>
        <v>0</v>
      </c>
      <c r="BX14" s="24">
        <f t="shared" si="5"/>
        <v>0</v>
      </c>
      <c r="BY14" s="24">
        <f t="shared" si="5"/>
        <v>0</v>
      </c>
      <c r="BZ14" s="24">
        <f t="shared" si="5"/>
        <v>0</v>
      </c>
      <c r="CA14" s="24">
        <f t="shared" si="5"/>
        <v>0</v>
      </c>
      <c r="CB14" s="24">
        <f t="shared" si="5"/>
        <v>0</v>
      </c>
      <c r="CC14" s="24">
        <f t="shared" si="5"/>
        <v>0</v>
      </c>
      <c r="CD14" s="24">
        <f t="shared" si="5"/>
        <v>0</v>
      </c>
      <c r="CE14" s="27" t="e">
        <f t="shared" si="6"/>
        <v>#DIV/0!</v>
      </c>
      <c r="CF14" s="24">
        <f t="shared" si="7"/>
        <v>0</v>
      </c>
      <c r="CG14" s="24"/>
      <c r="CH14" s="24"/>
      <c r="CI14" s="24"/>
      <c r="CJ14" s="24"/>
      <c r="CK14" s="24"/>
      <c r="CL14" s="24"/>
      <c r="CM14" s="24"/>
      <c r="CN14" s="24"/>
      <c r="CO14" s="24"/>
      <c r="CP14" s="24"/>
      <c r="CQ14" s="24"/>
      <c r="CR14" s="24"/>
      <c r="CS14" s="24"/>
      <c r="CT14" s="24"/>
      <c r="CU14" s="24"/>
      <c r="CV14" s="24"/>
      <c r="CW14" s="24"/>
      <c r="CX14" s="24"/>
      <c r="CY14" s="24"/>
      <c r="CZ14" s="24"/>
      <c r="DA14" s="24"/>
      <c r="DB14" s="24"/>
      <c r="DC14" s="24"/>
      <c r="DD14" s="27" t="e">
        <f t="shared" si="8"/>
        <v>#DIV/0!</v>
      </c>
      <c r="DE14" s="24">
        <f t="shared" si="13"/>
        <v>0</v>
      </c>
      <c r="DF14" s="24">
        <f t="shared" si="9"/>
        <v>0</v>
      </c>
      <c r="DG14" s="24">
        <f t="shared" si="9"/>
        <v>0</v>
      </c>
      <c r="DH14" s="24">
        <f t="shared" si="9"/>
        <v>0</v>
      </c>
      <c r="DI14" s="24">
        <f t="shared" si="9"/>
        <v>0</v>
      </c>
      <c r="DJ14" s="24">
        <f t="shared" si="9"/>
        <v>0</v>
      </c>
      <c r="DK14" s="24">
        <f t="shared" si="9"/>
        <v>0</v>
      </c>
      <c r="DL14" s="24">
        <f t="shared" si="9"/>
        <v>0</v>
      </c>
      <c r="DM14" s="24">
        <f t="shared" si="9"/>
        <v>0</v>
      </c>
      <c r="DN14" s="24">
        <f t="shared" si="9"/>
        <v>0</v>
      </c>
      <c r="DO14" s="24">
        <f t="shared" si="9"/>
        <v>0</v>
      </c>
      <c r="DP14" s="24">
        <f t="shared" si="9"/>
        <v>0</v>
      </c>
      <c r="DQ14" s="24">
        <f t="shared" si="9"/>
        <v>0</v>
      </c>
      <c r="DR14" s="24">
        <f t="shared" si="9"/>
        <v>0</v>
      </c>
      <c r="DS14" s="24">
        <f t="shared" si="9"/>
        <v>0</v>
      </c>
      <c r="DT14" s="24">
        <f t="shared" si="9"/>
        <v>0</v>
      </c>
      <c r="DU14" s="24">
        <f t="shared" si="9"/>
        <v>0</v>
      </c>
      <c r="DV14" s="24">
        <f t="shared" si="10"/>
        <v>0</v>
      </c>
      <c r="DW14" s="24">
        <f t="shared" si="10"/>
        <v>0</v>
      </c>
      <c r="DX14" s="24">
        <f t="shared" si="10"/>
        <v>0</v>
      </c>
      <c r="DY14" s="24">
        <f t="shared" si="10"/>
        <v>0</v>
      </c>
      <c r="DZ14" s="24">
        <f t="shared" si="10"/>
        <v>0</v>
      </c>
      <c r="EA14" s="24">
        <f t="shared" si="10"/>
        <v>0</v>
      </c>
      <c r="EB14" s="24">
        <f t="shared" si="10"/>
        <v>0</v>
      </c>
    </row>
    <row r="15" spans="1:138" ht="48" hidden="1" customHeight="1" x14ac:dyDescent="0.25">
      <c r="A15" s="32"/>
      <c r="B15" s="224"/>
      <c r="C15" s="20" t="s">
        <v>73</v>
      </c>
      <c r="D15" s="21" t="s">
        <v>74</v>
      </c>
      <c r="E15" s="22">
        <v>310</v>
      </c>
      <c r="F15" s="23" t="s">
        <v>57</v>
      </c>
      <c r="G15" s="24">
        <f t="shared" si="0"/>
        <v>291000000</v>
      </c>
      <c r="H15" s="25">
        <f>+[1]SF!$F25</f>
        <v>628000000</v>
      </c>
      <c r="I15" s="25">
        <f>+H15-G15</f>
        <v>337000000</v>
      </c>
      <c r="J15" s="24"/>
      <c r="K15" s="24">
        <v>120000000</v>
      </c>
      <c r="L15" s="24"/>
      <c r="M15" s="24"/>
      <c r="N15" s="24"/>
      <c r="O15" s="24"/>
      <c r="P15" s="24"/>
      <c r="Q15" s="24"/>
      <c r="R15" s="24"/>
      <c r="S15" s="24"/>
      <c r="T15" s="24"/>
      <c r="U15" s="24">
        <v>100000000</v>
      </c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6">
        <f>40000000+10000000-4000000+20000000+5000000</f>
        <v>71000000</v>
      </c>
      <c r="AG15" s="27">
        <f t="shared" si="1"/>
        <v>0.91567010309278352</v>
      </c>
      <c r="AH15" s="24">
        <f t="shared" ref="AH15:AH23" si="14">SUM(AI15:BE15)</f>
        <v>266460000</v>
      </c>
      <c r="AI15" s="24"/>
      <c r="AJ15" s="24">
        <f>+[2]OCTUBRE!$K$543</f>
        <v>120000000</v>
      </c>
      <c r="AK15" s="24"/>
      <c r="AL15" s="24"/>
      <c r="AM15" s="24"/>
      <c r="AN15" s="24"/>
      <c r="AO15" s="24"/>
      <c r="AP15" s="24"/>
      <c r="AQ15" s="24"/>
      <c r="AR15" s="24"/>
      <c r="AS15" s="24"/>
      <c r="AT15" s="24">
        <f>+'[5]FEBRERO 2020'!$U$379</f>
        <v>100000000</v>
      </c>
      <c r="AU15" s="24"/>
      <c r="AV15" s="24"/>
      <c r="AW15" s="24"/>
      <c r="AX15" s="24"/>
      <c r="AY15" s="24"/>
      <c r="AZ15" s="24"/>
      <c r="BA15" s="24"/>
      <c r="BB15" s="24"/>
      <c r="BC15" s="24"/>
      <c r="BD15" s="24"/>
      <c r="BE15" s="24">
        <f>+[2]OCTUBRE!$AG$543</f>
        <v>46460000</v>
      </c>
      <c r="BF15" s="27">
        <f t="shared" si="12"/>
        <v>8.4329896907216484E-2</v>
      </c>
      <c r="BG15" s="24">
        <f t="shared" si="3"/>
        <v>24540000</v>
      </c>
      <c r="BH15" s="24">
        <f t="shared" si="4"/>
        <v>0</v>
      </c>
      <c r="BI15" s="24">
        <f t="shared" si="4"/>
        <v>0</v>
      </c>
      <c r="BJ15" s="24">
        <f t="shared" si="4"/>
        <v>0</v>
      </c>
      <c r="BK15" s="24">
        <f t="shared" si="4"/>
        <v>0</v>
      </c>
      <c r="BL15" s="24">
        <f t="shared" si="4"/>
        <v>0</v>
      </c>
      <c r="BM15" s="24">
        <f t="shared" si="4"/>
        <v>0</v>
      </c>
      <c r="BN15" s="24">
        <f t="shared" si="4"/>
        <v>0</v>
      </c>
      <c r="BO15" s="24">
        <f t="shared" si="4"/>
        <v>0</v>
      </c>
      <c r="BP15" s="24">
        <f t="shared" si="4"/>
        <v>0</v>
      </c>
      <c r="BQ15" s="24">
        <f t="shared" si="4"/>
        <v>0</v>
      </c>
      <c r="BR15" s="24">
        <f t="shared" si="4"/>
        <v>0</v>
      </c>
      <c r="BS15" s="24">
        <f t="shared" si="4"/>
        <v>0</v>
      </c>
      <c r="BT15" s="24">
        <f t="shared" si="4"/>
        <v>0</v>
      </c>
      <c r="BU15" s="24">
        <f t="shared" si="4"/>
        <v>0</v>
      </c>
      <c r="BV15" s="24">
        <f t="shared" si="4"/>
        <v>0</v>
      </c>
      <c r="BW15" s="24">
        <f t="shared" si="4"/>
        <v>0</v>
      </c>
      <c r="BX15" s="24">
        <f t="shared" si="5"/>
        <v>0</v>
      </c>
      <c r="BY15" s="24">
        <f t="shared" si="5"/>
        <v>0</v>
      </c>
      <c r="BZ15" s="24">
        <f t="shared" si="5"/>
        <v>0</v>
      </c>
      <c r="CA15" s="24">
        <f t="shared" si="5"/>
        <v>0</v>
      </c>
      <c r="CB15" s="24">
        <f t="shared" si="5"/>
        <v>0</v>
      </c>
      <c r="CC15" s="24">
        <f t="shared" si="5"/>
        <v>0</v>
      </c>
      <c r="CD15" s="24">
        <f t="shared" si="5"/>
        <v>24540000</v>
      </c>
      <c r="CE15" s="27">
        <f t="shared" si="6"/>
        <v>0.64118175257731957</v>
      </c>
      <c r="CF15" s="24">
        <f t="shared" si="7"/>
        <v>186583890</v>
      </c>
      <c r="CG15" s="24"/>
      <c r="CH15" s="24">
        <f>+[2]OCTUBRE!$H$544+[2]OCTUBRE!$H$556+[2]OCTUBRE!$H$560+[2]OCTUBRE!$H$568+[2]OCTUBRE!$H$580+[2]OCTUBRE!$H$582+[2]OCTUBRE!$H$705+[2]OCTUBRE!$H$708</f>
        <v>86332585</v>
      </c>
      <c r="CI15" s="24"/>
      <c r="CJ15" s="24"/>
      <c r="CK15" s="24"/>
      <c r="CL15" s="24"/>
      <c r="CM15" s="24"/>
      <c r="CN15" s="24"/>
      <c r="CO15" s="24"/>
      <c r="CP15" s="24"/>
      <c r="CQ15" s="24"/>
      <c r="CR15" s="24">
        <f>+[2]OCTUBRE!$H$594</f>
        <v>83460515</v>
      </c>
      <c r="CS15" s="24"/>
      <c r="CT15" s="24"/>
      <c r="CU15" s="24"/>
      <c r="CV15" s="24"/>
      <c r="CW15" s="24"/>
      <c r="CX15" s="24"/>
      <c r="CY15" s="24"/>
      <c r="CZ15" s="24"/>
      <c r="DA15" s="24"/>
      <c r="DB15" s="24"/>
      <c r="DC15" s="24">
        <f>+[2]OCTUBRE!$H$711+[2]OCTUBRE!$H$692</f>
        <v>16790790</v>
      </c>
      <c r="DD15" s="27">
        <f t="shared" si="8"/>
        <v>0.35881824742268043</v>
      </c>
      <c r="DE15" s="24">
        <f t="shared" si="13"/>
        <v>104416110</v>
      </c>
      <c r="DF15" s="24">
        <f t="shared" si="9"/>
        <v>0</v>
      </c>
      <c r="DG15" s="24">
        <f t="shared" si="9"/>
        <v>33667415</v>
      </c>
      <c r="DH15" s="24">
        <f t="shared" si="9"/>
        <v>0</v>
      </c>
      <c r="DI15" s="24">
        <f t="shared" si="9"/>
        <v>0</v>
      </c>
      <c r="DJ15" s="24">
        <f t="shared" si="9"/>
        <v>0</v>
      </c>
      <c r="DK15" s="24">
        <f t="shared" si="9"/>
        <v>0</v>
      </c>
      <c r="DL15" s="24">
        <f t="shared" si="9"/>
        <v>0</v>
      </c>
      <c r="DM15" s="24">
        <f t="shared" si="9"/>
        <v>0</v>
      </c>
      <c r="DN15" s="24">
        <f t="shared" si="9"/>
        <v>0</v>
      </c>
      <c r="DO15" s="24">
        <f t="shared" si="9"/>
        <v>0</v>
      </c>
      <c r="DP15" s="24">
        <f t="shared" si="9"/>
        <v>0</v>
      </c>
      <c r="DQ15" s="24">
        <f t="shared" si="9"/>
        <v>16539485</v>
      </c>
      <c r="DR15" s="24">
        <f t="shared" si="9"/>
        <v>0</v>
      </c>
      <c r="DS15" s="24">
        <f t="shared" si="9"/>
        <v>0</v>
      </c>
      <c r="DT15" s="24">
        <f t="shared" si="9"/>
        <v>0</v>
      </c>
      <c r="DU15" s="24">
        <f t="shared" si="9"/>
        <v>0</v>
      </c>
      <c r="DV15" s="24">
        <f t="shared" si="10"/>
        <v>0</v>
      </c>
      <c r="DW15" s="24">
        <f t="shared" si="10"/>
        <v>0</v>
      </c>
      <c r="DX15" s="24">
        <f t="shared" si="10"/>
        <v>0</v>
      </c>
      <c r="DY15" s="24">
        <f t="shared" si="10"/>
        <v>0</v>
      </c>
      <c r="DZ15" s="24">
        <f t="shared" si="10"/>
        <v>0</v>
      </c>
      <c r="EA15" s="24">
        <f t="shared" si="10"/>
        <v>0</v>
      </c>
      <c r="EB15" s="24">
        <f t="shared" si="10"/>
        <v>54209210</v>
      </c>
    </row>
    <row r="16" spans="1:138" ht="26.25" hidden="1" customHeight="1" x14ac:dyDescent="0.25">
      <c r="A16" s="32"/>
      <c r="B16" s="225"/>
      <c r="C16" s="20" t="s">
        <v>75</v>
      </c>
      <c r="D16" s="21" t="s">
        <v>76</v>
      </c>
      <c r="E16" s="22">
        <v>310</v>
      </c>
      <c r="F16" s="23" t="s">
        <v>53</v>
      </c>
      <c r="G16" s="24">
        <f t="shared" si="0"/>
        <v>20000000</v>
      </c>
      <c r="H16" s="25">
        <f>+[1]SF!$F26</f>
        <v>80000000</v>
      </c>
      <c r="I16" s="25">
        <f t="shared" si="11"/>
        <v>60000000</v>
      </c>
      <c r="J16" s="24"/>
      <c r="K16" s="24">
        <v>20000000</v>
      </c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6">
        <v>0</v>
      </c>
      <c r="AG16" s="27">
        <f t="shared" si="1"/>
        <v>0.89666670000000004</v>
      </c>
      <c r="AH16" s="24">
        <f t="shared" si="14"/>
        <v>17933334</v>
      </c>
      <c r="AI16" s="24"/>
      <c r="AJ16" s="24">
        <f>+[3]SEPTIEMBRE!$K$653</f>
        <v>17933334</v>
      </c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7">
        <f t="shared" si="12"/>
        <v>0.10333329999999996</v>
      </c>
      <c r="BG16" s="24">
        <f t="shared" si="3"/>
        <v>2066666</v>
      </c>
      <c r="BH16" s="24">
        <f t="shared" si="4"/>
        <v>0</v>
      </c>
      <c r="BI16" s="24">
        <f t="shared" si="4"/>
        <v>2066666</v>
      </c>
      <c r="BJ16" s="24">
        <f t="shared" si="4"/>
        <v>0</v>
      </c>
      <c r="BK16" s="24">
        <f t="shared" si="4"/>
        <v>0</v>
      </c>
      <c r="BL16" s="24">
        <f t="shared" si="4"/>
        <v>0</v>
      </c>
      <c r="BM16" s="24">
        <f t="shared" si="4"/>
        <v>0</v>
      </c>
      <c r="BN16" s="24">
        <f t="shared" si="4"/>
        <v>0</v>
      </c>
      <c r="BO16" s="24">
        <f t="shared" si="4"/>
        <v>0</v>
      </c>
      <c r="BP16" s="24">
        <f t="shared" si="4"/>
        <v>0</v>
      </c>
      <c r="BQ16" s="24">
        <f t="shared" si="4"/>
        <v>0</v>
      </c>
      <c r="BR16" s="24">
        <f t="shared" si="4"/>
        <v>0</v>
      </c>
      <c r="BS16" s="24">
        <f t="shared" si="4"/>
        <v>0</v>
      </c>
      <c r="BT16" s="24">
        <f t="shared" si="4"/>
        <v>0</v>
      </c>
      <c r="BU16" s="24">
        <f t="shared" si="4"/>
        <v>0</v>
      </c>
      <c r="BV16" s="24">
        <f t="shared" si="4"/>
        <v>0</v>
      </c>
      <c r="BW16" s="24">
        <f t="shared" si="4"/>
        <v>0</v>
      </c>
      <c r="BX16" s="24">
        <f t="shared" si="5"/>
        <v>0</v>
      </c>
      <c r="BY16" s="24">
        <f t="shared" si="5"/>
        <v>0</v>
      </c>
      <c r="BZ16" s="24">
        <f t="shared" si="5"/>
        <v>0</v>
      </c>
      <c r="CA16" s="24">
        <f t="shared" si="5"/>
        <v>0</v>
      </c>
      <c r="CB16" s="24">
        <f t="shared" si="5"/>
        <v>0</v>
      </c>
      <c r="CC16" s="24">
        <f t="shared" si="5"/>
        <v>0</v>
      </c>
      <c r="CD16" s="24">
        <f t="shared" si="5"/>
        <v>0</v>
      </c>
      <c r="CE16" s="27">
        <f t="shared" si="6"/>
        <v>0.89666665000000001</v>
      </c>
      <c r="CF16" s="24">
        <f t="shared" si="7"/>
        <v>17933333</v>
      </c>
      <c r="CG16" s="24"/>
      <c r="CH16" s="24">
        <f>+[3]SEPTIEMBRE!$H$651</f>
        <v>17933333</v>
      </c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7">
        <f t="shared" si="8"/>
        <v>0.10333334999999999</v>
      </c>
      <c r="DE16" s="24">
        <f t="shared" si="13"/>
        <v>2066667</v>
      </c>
      <c r="DF16" s="24">
        <f t="shared" si="9"/>
        <v>0</v>
      </c>
      <c r="DG16" s="24">
        <f t="shared" si="9"/>
        <v>2066667</v>
      </c>
      <c r="DH16" s="24">
        <f t="shared" si="9"/>
        <v>0</v>
      </c>
      <c r="DI16" s="24">
        <f t="shared" si="9"/>
        <v>0</v>
      </c>
      <c r="DJ16" s="24">
        <f t="shared" si="9"/>
        <v>0</v>
      </c>
      <c r="DK16" s="24">
        <f t="shared" si="9"/>
        <v>0</v>
      </c>
      <c r="DL16" s="24">
        <f t="shared" si="9"/>
        <v>0</v>
      </c>
      <c r="DM16" s="24">
        <f t="shared" si="9"/>
        <v>0</v>
      </c>
      <c r="DN16" s="24">
        <f t="shared" si="9"/>
        <v>0</v>
      </c>
      <c r="DO16" s="24">
        <f t="shared" si="9"/>
        <v>0</v>
      </c>
      <c r="DP16" s="24">
        <f t="shared" si="9"/>
        <v>0</v>
      </c>
      <c r="DQ16" s="24">
        <f t="shared" si="9"/>
        <v>0</v>
      </c>
      <c r="DR16" s="24">
        <f t="shared" si="9"/>
        <v>0</v>
      </c>
      <c r="DS16" s="24">
        <f t="shared" si="9"/>
        <v>0</v>
      </c>
      <c r="DT16" s="24">
        <f t="shared" si="9"/>
        <v>0</v>
      </c>
      <c r="DU16" s="24">
        <f t="shared" si="9"/>
        <v>0</v>
      </c>
      <c r="DV16" s="24">
        <f t="shared" si="10"/>
        <v>0</v>
      </c>
      <c r="DW16" s="24">
        <f t="shared" si="10"/>
        <v>0</v>
      </c>
      <c r="DX16" s="24">
        <f t="shared" si="10"/>
        <v>0</v>
      </c>
      <c r="DY16" s="24">
        <f t="shared" si="10"/>
        <v>0</v>
      </c>
      <c r="DZ16" s="24">
        <f t="shared" si="10"/>
        <v>0</v>
      </c>
      <c r="EA16" s="24">
        <f t="shared" si="10"/>
        <v>0</v>
      </c>
      <c r="EB16" s="24">
        <f t="shared" si="10"/>
        <v>0</v>
      </c>
    </row>
    <row r="17" spans="1:137" ht="61.9" hidden="1" customHeight="1" x14ac:dyDescent="0.25">
      <c r="A17" s="32"/>
      <c r="B17" s="209" t="s">
        <v>77</v>
      </c>
      <c r="C17" s="34" t="s">
        <v>78</v>
      </c>
      <c r="D17" s="21" t="s">
        <v>79</v>
      </c>
      <c r="E17" s="22">
        <v>510</v>
      </c>
      <c r="F17" s="23" t="s">
        <v>80</v>
      </c>
      <c r="G17" s="24">
        <f t="shared" si="0"/>
        <v>225294009</v>
      </c>
      <c r="H17" s="25">
        <f>+[1]SF!$F32</f>
        <v>150000000</v>
      </c>
      <c r="I17" s="25">
        <f t="shared" si="11"/>
        <v>-75294009</v>
      </c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6">
        <f>69969309+37823425-4456688</f>
        <v>103336046</v>
      </c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6">
        <f>80030691+5000000+10000000+2000000+9927272+5000000+10000000</f>
        <v>121957963</v>
      </c>
      <c r="AG17" s="27">
        <f t="shared" si="1"/>
        <v>0.90914103712362804</v>
      </c>
      <c r="AH17" s="24">
        <f t="shared" si="14"/>
        <v>204824029</v>
      </c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>
        <f>+[3]SEPTIEMBRE!$U$2761</f>
        <v>103336066</v>
      </c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>
        <f>+[2]OCTUBRE!$AG$2959</f>
        <v>101487963</v>
      </c>
      <c r="BF17" s="27">
        <f t="shared" si="12"/>
        <v>9.0858962876371963E-2</v>
      </c>
      <c r="BG17" s="24">
        <f t="shared" si="3"/>
        <v>20469980</v>
      </c>
      <c r="BH17" s="24">
        <f t="shared" si="4"/>
        <v>0</v>
      </c>
      <c r="BI17" s="24">
        <f t="shared" si="4"/>
        <v>0</v>
      </c>
      <c r="BJ17" s="24">
        <f t="shared" si="4"/>
        <v>0</v>
      </c>
      <c r="BK17" s="24">
        <f t="shared" si="4"/>
        <v>0</v>
      </c>
      <c r="BL17" s="24">
        <f t="shared" si="4"/>
        <v>0</v>
      </c>
      <c r="BM17" s="24">
        <f t="shared" si="4"/>
        <v>0</v>
      </c>
      <c r="BN17" s="24">
        <f t="shared" si="4"/>
        <v>0</v>
      </c>
      <c r="BO17" s="24">
        <f t="shared" si="4"/>
        <v>0</v>
      </c>
      <c r="BP17" s="24">
        <f t="shared" si="4"/>
        <v>0</v>
      </c>
      <c r="BQ17" s="24">
        <f t="shared" si="4"/>
        <v>0</v>
      </c>
      <c r="BR17" s="24">
        <f t="shared" si="4"/>
        <v>0</v>
      </c>
      <c r="BS17" s="24">
        <f t="shared" si="4"/>
        <v>-20</v>
      </c>
      <c r="BT17" s="24">
        <f t="shared" si="4"/>
        <v>0</v>
      </c>
      <c r="BU17" s="24">
        <f t="shared" si="4"/>
        <v>0</v>
      </c>
      <c r="BV17" s="24">
        <f t="shared" si="4"/>
        <v>0</v>
      </c>
      <c r="BW17" s="24">
        <f t="shared" si="4"/>
        <v>0</v>
      </c>
      <c r="BX17" s="24">
        <f t="shared" si="5"/>
        <v>0</v>
      </c>
      <c r="BY17" s="24">
        <f t="shared" si="5"/>
        <v>0</v>
      </c>
      <c r="BZ17" s="24">
        <f t="shared" si="5"/>
        <v>0</v>
      </c>
      <c r="CA17" s="24">
        <f t="shared" si="5"/>
        <v>0</v>
      </c>
      <c r="CB17" s="24">
        <f t="shared" si="5"/>
        <v>0</v>
      </c>
      <c r="CC17" s="24">
        <f t="shared" si="5"/>
        <v>0</v>
      </c>
      <c r="CD17" s="24">
        <f t="shared" si="5"/>
        <v>20470000</v>
      </c>
      <c r="CE17" s="27">
        <f t="shared" si="6"/>
        <v>0.71461384931900251</v>
      </c>
      <c r="CF17" s="24">
        <f t="shared" si="7"/>
        <v>160998219</v>
      </c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>
        <f>+[3]SEPTIEMBRE!$H$2762+[3]SEPTIEMBRE!$H$2805+[3]SEPTIEMBRE!$H$2809</f>
        <v>103336065</v>
      </c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>
        <f>+[3]SEPTIEMBRE!$H$2771+[3]SEPTIEMBRE!$H$2777+[3]SEPTIEMBRE!$H$2780+[3]SEPTIEMBRE!$H$2783+[3]SEPTIEMBRE!$H$2787+[3]SEPTIEMBRE!$H$2797+[3]SEPTIEMBRE!$H$2802+[3]SEPTIEMBRE!$H$2814+[3]SEPTIEMBRE!$H$2817</f>
        <v>57662154</v>
      </c>
      <c r="DD17" s="27">
        <f t="shared" si="8"/>
        <v>0.28538615068099749</v>
      </c>
      <c r="DE17" s="24">
        <f t="shared" si="13"/>
        <v>64295790</v>
      </c>
      <c r="DF17" s="24">
        <f t="shared" si="9"/>
        <v>0</v>
      </c>
      <c r="DG17" s="24">
        <f t="shared" si="9"/>
        <v>0</v>
      </c>
      <c r="DH17" s="24">
        <f t="shared" si="9"/>
        <v>0</v>
      </c>
      <c r="DI17" s="24">
        <f t="shared" si="9"/>
        <v>0</v>
      </c>
      <c r="DJ17" s="24">
        <f t="shared" si="9"/>
        <v>0</v>
      </c>
      <c r="DK17" s="24">
        <f t="shared" si="9"/>
        <v>0</v>
      </c>
      <c r="DL17" s="24">
        <f t="shared" si="9"/>
        <v>0</v>
      </c>
      <c r="DM17" s="24">
        <f t="shared" si="9"/>
        <v>0</v>
      </c>
      <c r="DN17" s="24">
        <f t="shared" si="9"/>
        <v>0</v>
      </c>
      <c r="DO17" s="24">
        <f t="shared" si="9"/>
        <v>0</v>
      </c>
      <c r="DP17" s="24">
        <f t="shared" si="9"/>
        <v>0</v>
      </c>
      <c r="DQ17" s="24">
        <f t="shared" si="9"/>
        <v>-19</v>
      </c>
      <c r="DR17" s="24">
        <f t="shared" si="9"/>
        <v>0</v>
      </c>
      <c r="DS17" s="24">
        <f t="shared" si="9"/>
        <v>0</v>
      </c>
      <c r="DT17" s="24">
        <f t="shared" si="9"/>
        <v>0</v>
      </c>
      <c r="DU17" s="24">
        <f t="shared" si="9"/>
        <v>0</v>
      </c>
      <c r="DV17" s="24">
        <f t="shared" si="10"/>
        <v>0</v>
      </c>
      <c r="DW17" s="24">
        <f t="shared" si="10"/>
        <v>0</v>
      </c>
      <c r="DX17" s="24">
        <f t="shared" si="10"/>
        <v>0</v>
      </c>
      <c r="DY17" s="24">
        <f t="shared" si="10"/>
        <v>0</v>
      </c>
      <c r="DZ17" s="24">
        <f t="shared" si="10"/>
        <v>0</v>
      </c>
      <c r="EA17" s="24">
        <f t="shared" si="10"/>
        <v>0</v>
      </c>
      <c r="EB17" s="24">
        <f t="shared" si="10"/>
        <v>64295809</v>
      </c>
    </row>
    <row r="18" spans="1:137" ht="33.6" hidden="1" customHeight="1" x14ac:dyDescent="0.25">
      <c r="A18" s="32"/>
      <c r="B18" s="210"/>
      <c r="C18" s="20" t="s">
        <v>81</v>
      </c>
      <c r="D18" s="21" t="s">
        <v>82</v>
      </c>
      <c r="E18" s="22">
        <v>510</v>
      </c>
      <c r="F18" s="23" t="s">
        <v>53</v>
      </c>
      <c r="G18" s="24">
        <f t="shared" si="0"/>
        <v>5236308</v>
      </c>
      <c r="H18" s="25">
        <f>+[1]SF!$F33</f>
        <v>51000000</v>
      </c>
      <c r="I18" s="25">
        <f t="shared" si="11"/>
        <v>45763692</v>
      </c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6">
        <f>51000000-45763692</f>
        <v>5236308</v>
      </c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6">
        <f>10000000-10000000</f>
        <v>0</v>
      </c>
      <c r="AG18" s="27">
        <f t="shared" si="1"/>
        <v>0.8381878988019803</v>
      </c>
      <c r="AH18" s="24">
        <f t="shared" si="14"/>
        <v>4389010</v>
      </c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>
        <f>+[2]OCTUBRE!$U$3028</f>
        <v>4389010</v>
      </c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7">
        <f t="shared" si="12"/>
        <v>0.1618121011980197</v>
      </c>
      <c r="BG18" s="24">
        <f t="shared" si="3"/>
        <v>847298</v>
      </c>
      <c r="BH18" s="24">
        <f t="shared" si="4"/>
        <v>0</v>
      </c>
      <c r="BI18" s="24">
        <f t="shared" si="4"/>
        <v>0</v>
      </c>
      <c r="BJ18" s="24">
        <f t="shared" si="4"/>
        <v>0</v>
      </c>
      <c r="BK18" s="24">
        <f t="shared" si="4"/>
        <v>0</v>
      </c>
      <c r="BL18" s="24">
        <f t="shared" si="4"/>
        <v>0</v>
      </c>
      <c r="BM18" s="24">
        <f t="shared" si="4"/>
        <v>0</v>
      </c>
      <c r="BN18" s="24">
        <f t="shared" si="4"/>
        <v>0</v>
      </c>
      <c r="BO18" s="24">
        <f t="shared" si="4"/>
        <v>0</v>
      </c>
      <c r="BP18" s="24">
        <f t="shared" si="4"/>
        <v>0</v>
      </c>
      <c r="BQ18" s="24">
        <f t="shared" si="4"/>
        <v>0</v>
      </c>
      <c r="BR18" s="24">
        <f t="shared" si="4"/>
        <v>0</v>
      </c>
      <c r="BS18" s="24">
        <f t="shared" si="4"/>
        <v>847298</v>
      </c>
      <c r="BT18" s="24">
        <f t="shared" si="4"/>
        <v>0</v>
      </c>
      <c r="BU18" s="24">
        <f t="shared" si="4"/>
        <v>0</v>
      </c>
      <c r="BV18" s="24">
        <f t="shared" si="4"/>
        <v>0</v>
      </c>
      <c r="BW18" s="24">
        <f t="shared" si="4"/>
        <v>0</v>
      </c>
      <c r="BX18" s="24">
        <f t="shared" si="5"/>
        <v>0</v>
      </c>
      <c r="BY18" s="24">
        <f t="shared" si="5"/>
        <v>0</v>
      </c>
      <c r="BZ18" s="24">
        <f t="shared" si="5"/>
        <v>0</v>
      </c>
      <c r="CA18" s="24">
        <f t="shared" si="5"/>
        <v>0</v>
      </c>
      <c r="CB18" s="24">
        <f t="shared" si="5"/>
        <v>0</v>
      </c>
      <c r="CC18" s="24">
        <f t="shared" si="5"/>
        <v>0</v>
      </c>
      <c r="CD18" s="24">
        <f t="shared" si="5"/>
        <v>0</v>
      </c>
      <c r="CE18" s="27">
        <f t="shared" si="6"/>
        <v>0</v>
      </c>
      <c r="CF18" s="24">
        <f t="shared" si="7"/>
        <v>0</v>
      </c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7">
        <f t="shared" si="8"/>
        <v>1</v>
      </c>
      <c r="DE18" s="24">
        <f t="shared" si="13"/>
        <v>5236308</v>
      </c>
      <c r="DF18" s="24">
        <f t="shared" si="9"/>
        <v>0</v>
      </c>
      <c r="DG18" s="24">
        <f t="shared" si="9"/>
        <v>0</v>
      </c>
      <c r="DH18" s="24">
        <f t="shared" si="9"/>
        <v>0</v>
      </c>
      <c r="DI18" s="24">
        <f t="shared" si="9"/>
        <v>0</v>
      </c>
      <c r="DJ18" s="24">
        <f t="shared" si="9"/>
        <v>0</v>
      </c>
      <c r="DK18" s="24">
        <f t="shared" si="9"/>
        <v>0</v>
      </c>
      <c r="DL18" s="24">
        <f t="shared" si="9"/>
        <v>0</v>
      </c>
      <c r="DM18" s="24">
        <f t="shared" si="9"/>
        <v>0</v>
      </c>
      <c r="DN18" s="24">
        <f t="shared" si="9"/>
        <v>0</v>
      </c>
      <c r="DO18" s="24">
        <f t="shared" si="9"/>
        <v>0</v>
      </c>
      <c r="DP18" s="24">
        <f t="shared" si="9"/>
        <v>0</v>
      </c>
      <c r="DQ18" s="24">
        <f t="shared" si="9"/>
        <v>5236308</v>
      </c>
      <c r="DR18" s="24">
        <f t="shared" si="9"/>
        <v>0</v>
      </c>
      <c r="DS18" s="24">
        <f t="shared" si="9"/>
        <v>0</v>
      </c>
      <c r="DT18" s="24">
        <f t="shared" si="9"/>
        <v>0</v>
      </c>
      <c r="DU18" s="24">
        <f t="shared" si="9"/>
        <v>0</v>
      </c>
      <c r="DV18" s="24">
        <f t="shared" si="10"/>
        <v>0</v>
      </c>
      <c r="DW18" s="24">
        <f t="shared" si="10"/>
        <v>0</v>
      </c>
      <c r="DX18" s="24">
        <f t="shared" si="10"/>
        <v>0</v>
      </c>
      <c r="DY18" s="24">
        <f t="shared" si="10"/>
        <v>0</v>
      </c>
      <c r="DZ18" s="24">
        <f t="shared" si="10"/>
        <v>0</v>
      </c>
      <c r="EA18" s="24">
        <f t="shared" si="10"/>
        <v>0</v>
      </c>
      <c r="EB18" s="24">
        <f t="shared" si="10"/>
        <v>0</v>
      </c>
    </row>
    <row r="19" spans="1:137" ht="48" hidden="1" customHeight="1" x14ac:dyDescent="0.25">
      <c r="A19" s="32"/>
      <c r="B19" s="226"/>
      <c r="C19" s="20" t="s">
        <v>83</v>
      </c>
      <c r="D19" s="21" t="s">
        <v>84</v>
      </c>
      <c r="E19" s="22">
        <v>510</v>
      </c>
      <c r="F19" s="23" t="s">
        <v>53</v>
      </c>
      <c r="G19" s="24">
        <f t="shared" si="0"/>
        <v>112396955</v>
      </c>
      <c r="H19" s="25">
        <f>+[1]SF!$F34</f>
        <v>100000000</v>
      </c>
      <c r="I19" s="25">
        <f t="shared" si="11"/>
        <v>-12396955</v>
      </c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6">
        <f>100000000+7940267+4456688</f>
        <v>112396955</v>
      </c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6">
        <v>0</v>
      </c>
      <c r="AG19" s="27">
        <f t="shared" si="1"/>
        <v>0.96034867670569901</v>
      </c>
      <c r="AH19" s="24">
        <f t="shared" si="14"/>
        <v>107940267</v>
      </c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>
        <f>+[4]JULIO!$U$2351</f>
        <v>107940267</v>
      </c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7">
        <f t="shared" si="12"/>
        <v>3.9651323294300989E-2</v>
      </c>
      <c r="BG19" s="24">
        <f t="shared" si="3"/>
        <v>4456688</v>
      </c>
      <c r="BH19" s="24">
        <f t="shared" si="4"/>
        <v>0</v>
      </c>
      <c r="BI19" s="24">
        <f t="shared" si="4"/>
        <v>0</v>
      </c>
      <c r="BJ19" s="24">
        <f t="shared" si="4"/>
        <v>0</v>
      </c>
      <c r="BK19" s="24">
        <f t="shared" si="4"/>
        <v>0</v>
      </c>
      <c r="BL19" s="24">
        <f t="shared" si="4"/>
        <v>0</v>
      </c>
      <c r="BM19" s="24">
        <f t="shared" si="4"/>
        <v>0</v>
      </c>
      <c r="BN19" s="24">
        <f t="shared" si="4"/>
        <v>0</v>
      </c>
      <c r="BO19" s="24">
        <f t="shared" si="4"/>
        <v>0</v>
      </c>
      <c r="BP19" s="24">
        <f t="shared" si="4"/>
        <v>0</v>
      </c>
      <c r="BQ19" s="24">
        <f t="shared" si="4"/>
        <v>0</v>
      </c>
      <c r="BR19" s="24">
        <f t="shared" si="4"/>
        <v>0</v>
      </c>
      <c r="BS19" s="24">
        <f t="shared" si="4"/>
        <v>4456688</v>
      </c>
      <c r="BT19" s="24">
        <f t="shared" si="4"/>
        <v>0</v>
      </c>
      <c r="BU19" s="24">
        <f t="shared" si="4"/>
        <v>0</v>
      </c>
      <c r="BV19" s="24">
        <f t="shared" si="4"/>
        <v>0</v>
      </c>
      <c r="BW19" s="24">
        <f t="shared" si="4"/>
        <v>0</v>
      </c>
      <c r="BX19" s="24">
        <f t="shared" si="5"/>
        <v>0</v>
      </c>
      <c r="BY19" s="24">
        <f t="shared" si="5"/>
        <v>0</v>
      </c>
      <c r="BZ19" s="24">
        <f t="shared" si="5"/>
        <v>0</v>
      </c>
      <c r="CA19" s="24">
        <f t="shared" si="5"/>
        <v>0</v>
      </c>
      <c r="CB19" s="24">
        <f t="shared" si="5"/>
        <v>0</v>
      </c>
      <c r="CC19" s="24">
        <f t="shared" si="5"/>
        <v>0</v>
      </c>
      <c r="CD19" s="24">
        <f t="shared" si="5"/>
        <v>0</v>
      </c>
      <c r="CE19" s="27">
        <f t="shared" si="6"/>
        <v>0.9578456284692054</v>
      </c>
      <c r="CF19" s="24">
        <f t="shared" si="7"/>
        <v>107658932</v>
      </c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>
        <f>+[3]SEPTIEMBRE!$H$2834</f>
        <v>107658932</v>
      </c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7">
        <f t="shared" si="8"/>
        <v>4.2154371530794599E-2</v>
      </c>
      <c r="DE19" s="24">
        <f t="shared" si="13"/>
        <v>4738023</v>
      </c>
      <c r="DF19" s="24">
        <f t="shared" si="9"/>
        <v>0</v>
      </c>
      <c r="DG19" s="24">
        <f t="shared" si="9"/>
        <v>0</v>
      </c>
      <c r="DH19" s="24">
        <f t="shared" si="9"/>
        <v>0</v>
      </c>
      <c r="DI19" s="24">
        <f t="shared" si="9"/>
        <v>0</v>
      </c>
      <c r="DJ19" s="24">
        <f t="shared" si="9"/>
        <v>0</v>
      </c>
      <c r="DK19" s="24">
        <f t="shared" si="9"/>
        <v>0</v>
      </c>
      <c r="DL19" s="24">
        <f t="shared" si="9"/>
        <v>0</v>
      </c>
      <c r="DM19" s="24">
        <f t="shared" si="9"/>
        <v>0</v>
      </c>
      <c r="DN19" s="24">
        <f t="shared" si="9"/>
        <v>0</v>
      </c>
      <c r="DO19" s="24">
        <f t="shared" si="9"/>
        <v>0</v>
      </c>
      <c r="DP19" s="24">
        <f t="shared" si="9"/>
        <v>0</v>
      </c>
      <c r="DQ19" s="24">
        <f t="shared" si="9"/>
        <v>4738023</v>
      </c>
      <c r="DR19" s="24">
        <f t="shared" si="9"/>
        <v>0</v>
      </c>
      <c r="DS19" s="24">
        <f t="shared" si="9"/>
        <v>0</v>
      </c>
      <c r="DT19" s="24">
        <f t="shared" si="9"/>
        <v>0</v>
      </c>
      <c r="DU19" s="24">
        <f t="shared" si="9"/>
        <v>0</v>
      </c>
      <c r="DV19" s="24">
        <f t="shared" si="10"/>
        <v>0</v>
      </c>
      <c r="DW19" s="24">
        <f t="shared" si="10"/>
        <v>0</v>
      </c>
      <c r="DX19" s="24">
        <f t="shared" si="10"/>
        <v>0</v>
      </c>
      <c r="DY19" s="24">
        <f t="shared" si="10"/>
        <v>0</v>
      </c>
      <c r="DZ19" s="24">
        <f t="shared" si="10"/>
        <v>0</v>
      </c>
      <c r="EA19" s="24">
        <f t="shared" si="10"/>
        <v>0</v>
      </c>
      <c r="EB19" s="24">
        <f t="shared" si="10"/>
        <v>0</v>
      </c>
    </row>
    <row r="20" spans="1:137" ht="48" hidden="1" customHeight="1" x14ac:dyDescent="0.25">
      <c r="A20" s="32"/>
      <c r="B20" s="36" t="s">
        <v>85</v>
      </c>
      <c r="C20" s="34" t="s">
        <v>86</v>
      </c>
      <c r="D20" s="35" t="s">
        <v>87</v>
      </c>
      <c r="E20" s="22">
        <v>510</v>
      </c>
      <c r="F20" s="23" t="s">
        <v>88</v>
      </c>
      <c r="G20" s="24">
        <f t="shared" si="0"/>
        <v>17000000</v>
      </c>
      <c r="H20" s="25">
        <f>+[1]SF!$F$40</f>
        <v>20000000</v>
      </c>
      <c r="I20" s="25">
        <f t="shared" si="11"/>
        <v>3000000</v>
      </c>
      <c r="J20" s="24"/>
      <c r="K20" s="24">
        <v>17000000</v>
      </c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6">
        <f>3000000-3000000</f>
        <v>0</v>
      </c>
      <c r="AG20" s="27">
        <f t="shared" si="1"/>
        <v>0.25817705882352943</v>
      </c>
      <c r="AH20" s="24">
        <f t="shared" si="14"/>
        <v>4389010</v>
      </c>
      <c r="AI20" s="24"/>
      <c r="AJ20" s="24">
        <f>+[2]OCTUBRE!$K$3064</f>
        <v>4389010</v>
      </c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7">
        <f t="shared" si="12"/>
        <v>0.74182294117647052</v>
      </c>
      <c r="BG20" s="24">
        <f t="shared" si="3"/>
        <v>12610990</v>
      </c>
      <c r="BH20" s="24">
        <f t="shared" si="4"/>
        <v>0</v>
      </c>
      <c r="BI20" s="24">
        <f t="shared" si="4"/>
        <v>12610990</v>
      </c>
      <c r="BJ20" s="24">
        <f t="shared" si="4"/>
        <v>0</v>
      </c>
      <c r="BK20" s="24">
        <f t="shared" si="4"/>
        <v>0</v>
      </c>
      <c r="BL20" s="24">
        <f t="shared" si="4"/>
        <v>0</v>
      </c>
      <c r="BM20" s="24">
        <f t="shared" si="4"/>
        <v>0</v>
      </c>
      <c r="BN20" s="24">
        <f t="shared" si="4"/>
        <v>0</v>
      </c>
      <c r="BO20" s="24">
        <f t="shared" si="4"/>
        <v>0</v>
      </c>
      <c r="BP20" s="24">
        <f t="shared" si="4"/>
        <v>0</v>
      </c>
      <c r="BQ20" s="24">
        <f t="shared" si="4"/>
        <v>0</v>
      </c>
      <c r="BR20" s="24">
        <f t="shared" si="4"/>
        <v>0</v>
      </c>
      <c r="BS20" s="24">
        <f t="shared" si="4"/>
        <v>0</v>
      </c>
      <c r="BT20" s="24">
        <f t="shared" si="4"/>
        <v>0</v>
      </c>
      <c r="BU20" s="24">
        <f t="shared" si="4"/>
        <v>0</v>
      </c>
      <c r="BV20" s="24">
        <f t="shared" si="4"/>
        <v>0</v>
      </c>
      <c r="BW20" s="24">
        <f t="shared" si="4"/>
        <v>0</v>
      </c>
      <c r="BX20" s="24">
        <f t="shared" si="5"/>
        <v>0</v>
      </c>
      <c r="BY20" s="24">
        <f t="shared" si="5"/>
        <v>0</v>
      </c>
      <c r="BZ20" s="24">
        <f t="shared" si="5"/>
        <v>0</v>
      </c>
      <c r="CA20" s="24">
        <f t="shared" si="5"/>
        <v>0</v>
      </c>
      <c r="CB20" s="24">
        <f t="shared" si="5"/>
        <v>0</v>
      </c>
      <c r="CC20" s="24">
        <f t="shared" si="5"/>
        <v>0</v>
      </c>
      <c r="CD20" s="24">
        <f t="shared" si="5"/>
        <v>0</v>
      </c>
      <c r="CE20" s="27">
        <f t="shared" si="6"/>
        <v>0</v>
      </c>
      <c r="CF20" s="24">
        <f t="shared" si="7"/>
        <v>0</v>
      </c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7">
        <f t="shared" si="8"/>
        <v>1</v>
      </c>
      <c r="DE20" s="24">
        <f t="shared" si="13"/>
        <v>17000000</v>
      </c>
      <c r="DF20" s="24">
        <f t="shared" si="9"/>
        <v>0</v>
      </c>
      <c r="DG20" s="24">
        <f t="shared" si="9"/>
        <v>17000000</v>
      </c>
      <c r="DH20" s="24">
        <f t="shared" si="9"/>
        <v>0</v>
      </c>
      <c r="DI20" s="24">
        <f t="shared" si="9"/>
        <v>0</v>
      </c>
      <c r="DJ20" s="24">
        <f t="shared" si="9"/>
        <v>0</v>
      </c>
      <c r="DK20" s="24">
        <f t="shared" si="9"/>
        <v>0</v>
      </c>
      <c r="DL20" s="24">
        <f t="shared" si="9"/>
        <v>0</v>
      </c>
      <c r="DM20" s="24">
        <f t="shared" si="9"/>
        <v>0</v>
      </c>
      <c r="DN20" s="24">
        <f t="shared" si="9"/>
        <v>0</v>
      </c>
      <c r="DO20" s="24">
        <f t="shared" si="9"/>
        <v>0</v>
      </c>
      <c r="DP20" s="24">
        <f t="shared" si="9"/>
        <v>0</v>
      </c>
      <c r="DQ20" s="24">
        <f t="shared" si="9"/>
        <v>0</v>
      </c>
      <c r="DR20" s="24">
        <f t="shared" si="9"/>
        <v>0</v>
      </c>
      <c r="DS20" s="24">
        <f t="shared" si="9"/>
        <v>0</v>
      </c>
      <c r="DT20" s="24">
        <f t="shared" si="9"/>
        <v>0</v>
      </c>
      <c r="DU20" s="24">
        <f t="shared" si="9"/>
        <v>0</v>
      </c>
      <c r="DV20" s="24">
        <f t="shared" si="10"/>
        <v>0</v>
      </c>
      <c r="DW20" s="24">
        <f t="shared" si="10"/>
        <v>0</v>
      </c>
      <c r="DX20" s="24">
        <f t="shared" si="10"/>
        <v>0</v>
      </c>
      <c r="DY20" s="24">
        <f t="shared" si="10"/>
        <v>0</v>
      </c>
      <c r="DZ20" s="24">
        <f t="shared" si="10"/>
        <v>0</v>
      </c>
      <c r="EA20" s="24">
        <f t="shared" si="10"/>
        <v>0</v>
      </c>
      <c r="EB20" s="24">
        <f t="shared" si="10"/>
        <v>0</v>
      </c>
    </row>
    <row r="21" spans="1:137" ht="35.25" hidden="1" customHeight="1" x14ac:dyDescent="0.25">
      <c r="A21" s="32"/>
      <c r="B21" s="209" t="s">
        <v>89</v>
      </c>
      <c r="C21" s="34" t="s">
        <v>90</v>
      </c>
      <c r="D21" s="35" t="s">
        <v>91</v>
      </c>
      <c r="E21" s="22">
        <v>510</v>
      </c>
      <c r="F21" s="23" t="s">
        <v>92</v>
      </c>
      <c r="G21" s="24">
        <f t="shared" si="0"/>
        <v>12138000</v>
      </c>
      <c r="H21" s="25">
        <f>+[1]SF!$F46</f>
        <v>20000000</v>
      </c>
      <c r="I21" s="25">
        <f>+H21-G21</f>
        <v>7862000</v>
      </c>
      <c r="J21" s="24"/>
      <c r="K21" s="24">
        <f>10000000+2138000</f>
        <v>12138000</v>
      </c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6">
        <v>0</v>
      </c>
      <c r="AG21" s="27">
        <f t="shared" si="1"/>
        <v>1</v>
      </c>
      <c r="AH21" s="24">
        <f t="shared" si="14"/>
        <v>12138000</v>
      </c>
      <c r="AI21" s="24"/>
      <c r="AJ21" s="24">
        <f>+[4]JULIO!$K$2388</f>
        <v>12138000</v>
      </c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7">
        <f t="shared" si="12"/>
        <v>0</v>
      </c>
      <c r="BG21" s="24">
        <f t="shared" si="3"/>
        <v>0</v>
      </c>
      <c r="BH21" s="24">
        <f t="shared" si="4"/>
        <v>0</v>
      </c>
      <c r="BI21" s="24">
        <f t="shared" si="4"/>
        <v>0</v>
      </c>
      <c r="BJ21" s="24">
        <f t="shared" si="4"/>
        <v>0</v>
      </c>
      <c r="BK21" s="24">
        <f t="shared" si="4"/>
        <v>0</v>
      </c>
      <c r="BL21" s="24">
        <f t="shared" si="4"/>
        <v>0</v>
      </c>
      <c r="BM21" s="24">
        <f t="shared" si="4"/>
        <v>0</v>
      </c>
      <c r="BN21" s="24">
        <f t="shared" si="4"/>
        <v>0</v>
      </c>
      <c r="BO21" s="24">
        <f t="shared" si="4"/>
        <v>0</v>
      </c>
      <c r="BP21" s="24">
        <f t="shared" si="4"/>
        <v>0</v>
      </c>
      <c r="BQ21" s="24">
        <f t="shared" si="4"/>
        <v>0</v>
      </c>
      <c r="BR21" s="24">
        <f t="shared" si="4"/>
        <v>0</v>
      </c>
      <c r="BS21" s="24">
        <f t="shared" si="4"/>
        <v>0</v>
      </c>
      <c r="BT21" s="24">
        <f t="shared" si="4"/>
        <v>0</v>
      </c>
      <c r="BU21" s="24">
        <f t="shared" si="4"/>
        <v>0</v>
      </c>
      <c r="BV21" s="24">
        <f t="shared" si="4"/>
        <v>0</v>
      </c>
      <c r="BW21" s="24">
        <f t="shared" ref="BW21:BW23" si="15">+Y21-AX21</f>
        <v>0</v>
      </c>
      <c r="BX21" s="24">
        <f t="shared" si="5"/>
        <v>0</v>
      </c>
      <c r="BY21" s="24">
        <f t="shared" si="5"/>
        <v>0</v>
      </c>
      <c r="BZ21" s="24">
        <f t="shared" si="5"/>
        <v>0</v>
      </c>
      <c r="CA21" s="24">
        <f t="shared" si="5"/>
        <v>0</v>
      </c>
      <c r="CB21" s="24">
        <f t="shared" si="5"/>
        <v>0</v>
      </c>
      <c r="CC21" s="24">
        <f t="shared" si="5"/>
        <v>0</v>
      </c>
      <c r="CD21" s="24">
        <f t="shared" si="5"/>
        <v>0</v>
      </c>
      <c r="CE21" s="27">
        <f t="shared" si="6"/>
        <v>0</v>
      </c>
      <c r="CF21" s="24">
        <f t="shared" si="7"/>
        <v>0</v>
      </c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7">
        <f t="shared" si="8"/>
        <v>1</v>
      </c>
      <c r="DE21" s="24">
        <f t="shared" si="13"/>
        <v>12138000</v>
      </c>
      <c r="DF21" s="24">
        <f t="shared" si="9"/>
        <v>0</v>
      </c>
      <c r="DG21" s="24">
        <f t="shared" si="9"/>
        <v>12138000</v>
      </c>
      <c r="DH21" s="24">
        <f t="shared" si="9"/>
        <v>0</v>
      </c>
      <c r="DI21" s="24">
        <f t="shared" si="9"/>
        <v>0</v>
      </c>
      <c r="DJ21" s="24">
        <f t="shared" si="9"/>
        <v>0</v>
      </c>
      <c r="DK21" s="24">
        <f t="shared" si="9"/>
        <v>0</v>
      </c>
      <c r="DL21" s="24">
        <f t="shared" si="9"/>
        <v>0</v>
      </c>
      <c r="DM21" s="24">
        <f t="shared" si="9"/>
        <v>0</v>
      </c>
      <c r="DN21" s="24">
        <f t="shared" si="9"/>
        <v>0</v>
      </c>
      <c r="DO21" s="24">
        <f t="shared" si="9"/>
        <v>0</v>
      </c>
      <c r="DP21" s="24">
        <f t="shared" si="9"/>
        <v>0</v>
      </c>
      <c r="DQ21" s="24">
        <f t="shared" si="9"/>
        <v>0</v>
      </c>
      <c r="DR21" s="24">
        <f t="shared" si="9"/>
        <v>0</v>
      </c>
      <c r="DS21" s="24">
        <f t="shared" si="9"/>
        <v>0</v>
      </c>
      <c r="DT21" s="24">
        <f t="shared" si="9"/>
        <v>0</v>
      </c>
      <c r="DU21" s="24">
        <f t="shared" ref="DU21:DU23" si="16">+Y21-CV21</f>
        <v>0</v>
      </c>
      <c r="DV21" s="24">
        <f t="shared" si="10"/>
        <v>0</v>
      </c>
      <c r="DW21" s="24">
        <f t="shared" si="10"/>
        <v>0</v>
      </c>
      <c r="DX21" s="24">
        <f t="shared" si="10"/>
        <v>0</v>
      </c>
      <c r="DY21" s="24">
        <f t="shared" si="10"/>
        <v>0</v>
      </c>
      <c r="DZ21" s="24">
        <f t="shared" si="10"/>
        <v>0</v>
      </c>
      <c r="EA21" s="24">
        <f t="shared" si="10"/>
        <v>0</v>
      </c>
      <c r="EB21" s="24">
        <f t="shared" si="10"/>
        <v>0</v>
      </c>
    </row>
    <row r="22" spans="1:137" ht="36" hidden="1" customHeight="1" x14ac:dyDescent="0.25">
      <c r="A22" s="32"/>
      <c r="B22" s="210"/>
      <c r="C22" s="34" t="s">
        <v>93</v>
      </c>
      <c r="D22" s="35" t="s">
        <v>94</v>
      </c>
      <c r="E22" s="22">
        <v>510</v>
      </c>
      <c r="F22" s="23" t="s">
        <v>95</v>
      </c>
      <c r="G22" s="24">
        <f t="shared" si="0"/>
        <v>94302000</v>
      </c>
      <c r="H22" s="25">
        <f>+[1]SF!$F47</f>
        <v>150000000</v>
      </c>
      <c r="I22" s="25">
        <f t="shared" si="11"/>
        <v>55698000</v>
      </c>
      <c r="J22" s="24"/>
      <c r="K22" s="37">
        <f>50000000+11885908-4583908</f>
        <v>57302000</v>
      </c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6">
        <f>37000000+6000000-6000000</f>
        <v>37000000</v>
      </c>
      <c r="AG22" s="27">
        <f t="shared" si="1"/>
        <v>0.80418767364424937</v>
      </c>
      <c r="AH22" s="24">
        <f t="shared" si="14"/>
        <v>75836506</v>
      </c>
      <c r="AI22" s="24"/>
      <c r="AJ22" s="24">
        <f>+[3]SEPTIEMBRE!$K$2886</f>
        <v>55836506</v>
      </c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>
        <f>+[2]OCTUBRE!$AG$3082</f>
        <v>20000000</v>
      </c>
      <c r="BF22" s="27">
        <f t="shared" si="12"/>
        <v>0.19581232635575063</v>
      </c>
      <c r="BG22" s="24">
        <f t="shared" si="3"/>
        <v>18465494</v>
      </c>
      <c r="BH22" s="24">
        <f t="shared" ref="BH22:BV23" si="17">+J22-AI22</f>
        <v>0</v>
      </c>
      <c r="BI22" s="24">
        <f t="shared" si="17"/>
        <v>1465494</v>
      </c>
      <c r="BJ22" s="24">
        <f t="shared" si="17"/>
        <v>0</v>
      </c>
      <c r="BK22" s="24">
        <f t="shared" si="17"/>
        <v>0</v>
      </c>
      <c r="BL22" s="24">
        <f t="shared" si="17"/>
        <v>0</v>
      </c>
      <c r="BM22" s="24">
        <f t="shared" si="17"/>
        <v>0</v>
      </c>
      <c r="BN22" s="24">
        <f t="shared" si="17"/>
        <v>0</v>
      </c>
      <c r="BO22" s="24">
        <f t="shared" si="17"/>
        <v>0</v>
      </c>
      <c r="BP22" s="24">
        <f t="shared" si="17"/>
        <v>0</v>
      </c>
      <c r="BQ22" s="24">
        <f t="shared" si="17"/>
        <v>0</v>
      </c>
      <c r="BR22" s="24">
        <f t="shared" si="17"/>
        <v>0</v>
      </c>
      <c r="BS22" s="24">
        <f t="shared" si="17"/>
        <v>0</v>
      </c>
      <c r="BT22" s="24">
        <f t="shared" si="17"/>
        <v>0</v>
      </c>
      <c r="BU22" s="24">
        <f t="shared" si="17"/>
        <v>0</v>
      </c>
      <c r="BV22" s="24">
        <f t="shared" si="17"/>
        <v>0</v>
      </c>
      <c r="BW22" s="24">
        <f t="shared" si="15"/>
        <v>0</v>
      </c>
      <c r="BX22" s="24">
        <f t="shared" si="5"/>
        <v>0</v>
      </c>
      <c r="BY22" s="24">
        <f t="shared" si="5"/>
        <v>0</v>
      </c>
      <c r="BZ22" s="24">
        <f t="shared" si="5"/>
        <v>0</v>
      </c>
      <c r="CA22" s="24">
        <f t="shared" si="5"/>
        <v>0</v>
      </c>
      <c r="CB22" s="24">
        <f t="shared" si="5"/>
        <v>0</v>
      </c>
      <c r="CC22" s="24">
        <f t="shared" si="5"/>
        <v>0</v>
      </c>
      <c r="CD22" s="24">
        <f t="shared" si="5"/>
        <v>17000000</v>
      </c>
      <c r="CE22" s="27">
        <f t="shared" si="6"/>
        <v>0.7479801700918326</v>
      </c>
      <c r="CF22" s="24">
        <f t="shared" si="7"/>
        <v>70536026</v>
      </c>
      <c r="CG22" s="24"/>
      <c r="CH22" s="24">
        <f>+[3]SEPTIEMBRE!$H$2887+[3]SEPTIEMBRE!$H$2890+[3]SEPTIEMBRE!$H$2894+[3]SEPTIEMBRE!$H$2913+[3]SEPTIEMBRE!$H$2920+[3]SEPTIEMBRE!$H$2924</f>
        <v>55836026</v>
      </c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>
        <f>+[3]SEPTIEMBRE!$H$2902+[3]SEPTIEMBRE!$H$2908+[3]SEPTIEMBRE!$H$2916+[2]OCTUBRE!$H$3123</f>
        <v>14700000</v>
      </c>
      <c r="DD22" s="27">
        <f t="shared" si="8"/>
        <v>0.2520198299081674</v>
      </c>
      <c r="DE22" s="24">
        <f t="shared" si="13"/>
        <v>23765974</v>
      </c>
      <c r="DF22" s="24">
        <f t="shared" ref="DF22:DT23" si="18">+J22-CG22</f>
        <v>0</v>
      </c>
      <c r="DG22" s="24">
        <f t="shared" si="18"/>
        <v>1465974</v>
      </c>
      <c r="DH22" s="24">
        <f t="shared" si="18"/>
        <v>0</v>
      </c>
      <c r="DI22" s="24">
        <f t="shared" si="18"/>
        <v>0</v>
      </c>
      <c r="DJ22" s="24">
        <f t="shared" si="18"/>
        <v>0</v>
      </c>
      <c r="DK22" s="24">
        <f t="shared" si="18"/>
        <v>0</v>
      </c>
      <c r="DL22" s="24">
        <f t="shared" si="18"/>
        <v>0</v>
      </c>
      <c r="DM22" s="24">
        <f t="shared" si="18"/>
        <v>0</v>
      </c>
      <c r="DN22" s="24">
        <f t="shared" si="18"/>
        <v>0</v>
      </c>
      <c r="DO22" s="24">
        <f t="shared" si="18"/>
        <v>0</v>
      </c>
      <c r="DP22" s="24">
        <f t="shared" si="18"/>
        <v>0</v>
      </c>
      <c r="DQ22" s="24">
        <f t="shared" si="18"/>
        <v>0</v>
      </c>
      <c r="DR22" s="24">
        <f t="shared" si="18"/>
        <v>0</v>
      </c>
      <c r="DS22" s="24">
        <f t="shared" si="18"/>
        <v>0</v>
      </c>
      <c r="DT22" s="24">
        <f t="shared" si="18"/>
        <v>0</v>
      </c>
      <c r="DU22" s="24">
        <f t="shared" si="16"/>
        <v>0</v>
      </c>
      <c r="DV22" s="24">
        <f t="shared" si="10"/>
        <v>0</v>
      </c>
      <c r="DW22" s="24">
        <f t="shared" si="10"/>
        <v>0</v>
      </c>
      <c r="DX22" s="24">
        <f t="shared" si="10"/>
        <v>0</v>
      </c>
      <c r="DY22" s="24">
        <f t="shared" si="10"/>
        <v>0</v>
      </c>
      <c r="DZ22" s="24">
        <f t="shared" si="10"/>
        <v>0</v>
      </c>
      <c r="EA22" s="24">
        <f t="shared" si="10"/>
        <v>0</v>
      </c>
      <c r="EB22" s="24">
        <f t="shared" si="10"/>
        <v>22300000</v>
      </c>
    </row>
    <row r="23" spans="1:137" ht="54.75" hidden="1" customHeight="1" x14ac:dyDescent="0.25">
      <c r="A23" s="32"/>
      <c r="B23" s="226"/>
      <c r="C23" s="34" t="s">
        <v>96</v>
      </c>
      <c r="D23" s="35" t="s">
        <v>97</v>
      </c>
      <c r="E23" s="22">
        <v>510</v>
      </c>
      <c r="F23" s="23" t="s">
        <v>92</v>
      </c>
      <c r="G23" s="24">
        <f t="shared" si="0"/>
        <v>21560000</v>
      </c>
      <c r="H23" s="25">
        <f>+[1]SF!$F48</f>
        <v>100000000</v>
      </c>
      <c r="I23" s="25">
        <f t="shared" si="11"/>
        <v>78440000</v>
      </c>
      <c r="J23" s="24"/>
      <c r="K23" s="37">
        <f>19114092-14023908+4583908</f>
        <v>9674092</v>
      </c>
      <c r="L23" s="24"/>
      <c r="M23" s="24"/>
      <c r="N23" s="24"/>
      <c r="O23" s="24"/>
      <c r="P23" s="24"/>
      <c r="Q23" s="24"/>
      <c r="R23" s="24"/>
      <c r="S23" s="24"/>
      <c r="T23" s="24"/>
      <c r="U23" s="24">
        <f>11885908</f>
        <v>11885908</v>
      </c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>
        <v>0</v>
      </c>
      <c r="AG23" s="27">
        <f t="shared" si="1"/>
        <v>0.9947433673469388</v>
      </c>
      <c r="AH23" s="24">
        <f t="shared" si="14"/>
        <v>21446667</v>
      </c>
      <c r="AI23" s="24"/>
      <c r="AJ23" s="24">
        <f>+[2]OCTUBRE!$K$3137</f>
        <v>9560759</v>
      </c>
      <c r="AK23" s="24"/>
      <c r="AL23" s="24"/>
      <c r="AM23" s="24"/>
      <c r="AN23" s="24"/>
      <c r="AO23" s="24"/>
      <c r="AP23" s="24"/>
      <c r="AQ23" s="24"/>
      <c r="AR23" s="24"/>
      <c r="AS23" s="24"/>
      <c r="AT23" s="24">
        <f>+[2]OCTUBRE!$U$3137</f>
        <v>11885908</v>
      </c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7">
        <f t="shared" si="12"/>
        <v>5.2566326530611995E-3</v>
      </c>
      <c r="BG23" s="24">
        <f t="shared" si="3"/>
        <v>113333</v>
      </c>
      <c r="BH23" s="24">
        <f t="shared" si="17"/>
        <v>0</v>
      </c>
      <c r="BI23" s="24">
        <f t="shared" si="17"/>
        <v>113333</v>
      </c>
      <c r="BJ23" s="24">
        <f t="shared" si="17"/>
        <v>0</v>
      </c>
      <c r="BK23" s="24">
        <f t="shared" si="17"/>
        <v>0</v>
      </c>
      <c r="BL23" s="24">
        <f t="shared" si="17"/>
        <v>0</v>
      </c>
      <c r="BM23" s="24">
        <f t="shared" si="17"/>
        <v>0</v>
      </c>
      <c r="BN23" s="24">
        <f t="shared" si="17"/>
        <v>0</v>
      </c>
      <c r="BO23" s="24">
        <f t="shared" si="17"/>
        <v>0</v>
      </c>
      <c r="BP23" s="24">
        <f t="shared" si="17"/>
        <v>0</v>
      </c>
      <c r="BQ23" s="24">
        <f t="shared" si="17"/>
        <v>0</v>
      </c>
      <c r="BR23" s="24">
        <f t="shared" si="17"/>
        <v>0</v>
      </c>
      <c r="BS23" s="24">
        <f t="shared" si="17"/>
        <v>0</v>
      </c>
      <c r="BT23" s="24">
        <f t="shared" si="17"/>
        <v>0</v>
      </c>
      <c r="BU23" s="24">
        <f t="shared" si="17"/>
        <v>0</v>
      </c>
      <c r="BV23" s="24">
        <f t="shared" si="17"/>
        <v>0</v>
      </c>
      <c r="BW23" s="24">
        <f t="shared" si="15"/>
        <v>0</v>
      </c>
      <c r="BX23" s="24">
        <f t="shared" si="5"/>
        <v>0</v>
      </c>
      <c r="BY23" s="24">
        <f t="shared" si="5"/>
        <v>0</v>
      </c>
      <c r="BZ23" s="24">
        <f t="shared" si="5"/>
        <v>0</v>
      </c>
      <c r="CA23" s="24">
        <f t="shared" si="5"/>
        <v>0</v>
      </c>
      <c r="CB23" s="24">
        <f t="shared" si="5"/>
        <v>0</v>
      </c>
      <c r="CC23" s="24">
        <f t="shared" si="5"/>
        <v>0</v>
      </c>
      <c r="CD23" s="24">
        <f t="shared" si="5"/>
        <v>0</v>
      </c>
      <c r="CE23" s="27">
        <f t="shared" si="6"/>
        <v>6.7099582560296842E-2</v>
      </c>
      <c r="CF23" s="24">
        <f t="shared" si="7"/>
        <v>1446667</v>
      </c>
      <c r="CG23" s="24"/>
      <c r="CH23" s="24">
        <f>+'[5]FEBRERO 2020'!$H$3096</f>
        <v>1446667</v>
      </c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7">
        <f t="shared" si="8"/>
        <v>0.9329004174397032</v>
      </c>
      <c r="DE23" s="24">
        <f t="shared" si="13"/>
        <v>20113333</v>
      </c>
      <c r="DF23" s="24">
        <f t="shared" si="18"/>
        <v>0</v>
      </c>
      <c r="DG23" s="24">
        <f t="shared" si="18"/>
        <v>8227425</v>
      </c>
      <c r="DH23" s="24">
        <f t="shared" si="18"/>
        <v>0</v>
      </c>
      <c r="DI23" s="24">
        <f t="shared" si="18"/>
        <v>0</v>
      </c>
      <c r="DJ23" s="24">
        <f t="shared" si="18"/>
        <v>0</v>
      </c>
      <c r="DK23" s="24">
        <f t="shared" si="18"/>
        <v>0</v>
      </c>
      <c r="DL23" s="24">
        <f t="shared" si="18"/>
        <v>0</v>
      </c>
      <c r="DM23" s="24">
        <f t="shared" si="18"/>
        <v>0</v>
      </c>
      <c r="DN23" s="24">
        <f t="shared" si="18"/>
        <v>0</v>
      </c>
      <c r="DO23" s="24">
        <f t="shared" si="18"/>
        <v>0</v>
      </c>
      <c r="DP23" s="24">
        <f t="shared" si="18"/>
        <v>0</v>
      </c>
      <c r="DQ23" s="24">
        <f t="shared" si="18"/>
        <v>11885908</v>
      </c>
      <c r="DR23" s="24">
        <f t="shared" si="18"/>
        <v>0</v>
      </c>
      <c r="DS23" s="24">
        <f t="shared" si="18"/>
        <v>0</v>
      </c>
      <c r="DT23" s="24">
        <f t="shared" si="18"/>
        <v>0</v>
      </c>
      <c r="DU23" s="24">
        <f t="shared" si="16"/>
        <v>0</v>
      </c>
      <c r="DV23" s="24">
        <f t="shared" si="10"/>
        <v>0</v>
      </c>
      <c r="DW23" s="24">
        <f t="shared" si="10"/>
        <v>0</v>
      </c>
      <c r="DX23" s="24">
        <f t="shared" si="10"/>
        <v>0</v>
      </c>
      <c r="DY23" s="24">
        <f t="shared" si="10"/>
        <v>0</v>
      </c>
      <c r="DZ23" s="24">
        <f t="shared" si="10"/>
        <v>0</v>
      </c>
      <c r="EA23" s="24">
        <f t="shared" si="10"/>
        <v>0</v>
      </c>
      <c r="EB23" s="24">
        <f t="shared" si="10"/>
        <v>0</v>
      </c>
    </row>
    <row r="24" spans="1:137" s="44" customFormat="1" ht="17.25" customHeight="1" thickBot="1" x14ac:dyDescent="0.3">
      <c r="A24" s="38"/>
      <c r="B24" s="264" t="s">
        <v>98</v>
      </c>
      <c r="C24" s="264"/>
      <c r="D24" s="264"/>
      <c r="E24" s="264"/>
      <c r="F24" s="186"/>
      <c r="G24" s="40">
        <f t="shared" ref="G24:AF24" si="19">SUM(G6:G23)</f>
        <v>1966134749</v>
      </c>
      <c r="H24" s="41">
        <f t="shared" si="19"/>
        <v>3317107400.67272</v>
      </c>
      <c r="I24" s="41">
        <f t="shared" si="19"/>
        <v>1350972651.67272</v>
      </c>
      <c r="J24" s="40">
        <f t="shared" si="19"/>
        <v>0</v>
      </c>
      <c r="K24" s="40">
        <f t="shared" si="19"/>
        <v>336114092</v>
      </c>
      <c r="L24" s="40">
        <f t="shared" si="19"/>
        <v>0</v>
      </c>
      <c r="M24" s="40">
        <f t="shared" si="19"/>
        <v>281990457</v>
      </c>
      <c r="N24" s="40">
        <f t="shared" si="19"/>
        <v>0</v>
      </c>
      <c r="O24" s="40">
        <f t="shared" si="19"/>
        <v>0</v>
      </c>
      <c r="P24" s="40">
        <f t="shared" si="19"/>
        <v>0</v>
      </c>
      <c r="Q24" s="40">
        <f t="shared" si="19"/>
        <v>0</v>
      </c>
      <c r="R24" s="40">
        <f t="shared" si="19"/>
        <v>0</v>
      </c>
      <c r="S24" s="40">
        <f t="shared" si="19"/>
        <v>0</v>
      </c>
      <c r="T24" s="40">
        <f t="shared" si="19"/>
        <v>0</v>
      </c>
      <c r="U24" s="40">
        <f t="shared" si="19"/>
        <v>482855217</v>
      </c>
      <c r="V24" s="40">
        <f t="shared" si="19"/>
        <v>0</v>
      </c>
      <c r="W24" s="40">
        <f t="shared" si="19"/>
        <v>0</v>
      </c>
      <c r="X24" s="40">
        <f t="shared" si="19"/>
        <v>0</v>
      </c>
      <c r="Y24" s="40">
        <f t="shared" si="19"/>
        <v>0</v>
      </c>
      <c r="Z24" s="40">
        <f t="shared" si="19"/>
        <v>0</v>
      </c>
      <c r="AA24" s="40">
        <f t="shared" si="19"/>
        <v>50000000</v>
      </c>
      <c r="AB24" s="40">
        <f t="shared" si="19"/>
        <v>0</v>
      </c>
      <c r="AC24" s="40">
        <f t="shared" si="19"/>
        <v>0</v>
      </c>
      <c r="AD24" s="40">
        <f t="shared" si="19"/>
        <v>0</v>
      </c>
      <c r="AE24" s="40">
        <f t="shared" si="19"/>
        <v>500133503</v>
      </c>
      <c r="AF24" s="40">
        <f t="shared" si="19"/>
        <v>315041480</v>
      </c>
      <c r="AG24" s="59">
        <f t="shared" si="1"/>
        <v>0.82718289620138341</v>
      </c>
      <c r="AH24" s="147">
        <f>SUM(AH6:AH23)</f>
        <v>1626353036</v>
      </c>
      <c r="AI24" s="147">
        <f t="shared" ref="AI24:BE24" si="20">SUM(AI6:AI23)</f>
        <v>0</v>
      </c>
      <c r="AJ24" s="147">
        <f t="shared" si="20"/>
        <v>304289952</v>
      </c>
      <c r="AK24" s="147">
        <f t="shared" si="20"/>
        <v>0</v>
      </c>
      <c r="AL24" s="147">
        <f t="shared" si="20"/>
        <v>114000000</v>
      </c>
      <c r="AM24" s="147">
        <f t="shared" si="20"/>
        <v>0</v>
      </c>
      <c r="AN24" s="147">
        <f t="shared" si="20"/>
        <v>0</v>
      </c>
      <c r="AO24" s="147">
        <f t="shared" si="20"/>
        <v>0</v>
      </c>
      <c r="AP24" s="147">
        <f t="shared" si="20"/>
        <v>0</v>
      </c>
      <c r="AQ24" s="147">
        <f t="shared" si="20"/>
        <v>0</v>
      </c>
      <c r="AR24" s="147">
        <f t="shared" si="20"/>
        <v>0</v>
      </c>
      <c r="AS24" s="147">
        <f t="shared" si="20"/>
        <v>0</v>
      </c>
      <c r="AT24" s="147">
        <f t="shared" si="20"/>
        <v>477551251</v>
      </c>
      <c r="AU24" s="147">
        <f t="shared" si="20"/>
        <v>0</v>
      </c>
      <c r="AV24" s="147">
        <f t="shared" si="20"/>
        <v>0</v>
      </c>
      <c r="AW24" s="147">
        <f t="shared" si="20"/>
        <v>0</v>
      </c>
      <c r="AX24" s="147">
        <f t="shared" si="20"/>
        <v>0</v>
      </c>
      <c r="AY24" s="147">
        <f t="shared" si="20"/>
        <v>0</v>
      </c>
      <c r="AZ24" s="147">
        <f t="shared" si="20"/>
        <v>43063870</v>
      </c>
      <c r="BA24" s="147">
        <f t="shared" si="20"/>
        <v>0</v>
      </c>
      <c r="BB24" s="147">
        <f t="shared" si="20"/>
        <v>0</v>
      </c>
      <c r="BC24" s="147">
        <f t="shared" si="20"/>
        <v>0</v>
      </c>
      <c r="BD24" s="147">
        <f t="shared" si="20"/>
        <v>452500000</v>
      </c>
      <c r="BE24" s="147">
        <f t="shared" si="20"/>
        <v>234947963</v>
      </c>
      <c r="BF24" s="59">
        <f t="shared" si="12"/>
        <v>0.17281710379861659</v>
      </c>
      <c r="BG24" s="147">
        <f t="shared" ref="BG24:DC24" si="21">SUM(BG6:BG23)</f>
        <v>339781713</v>
      </c>
      <c r="BH24" s="147">
        <f t="shared" si="21"/>
        <v>0</v>
      </c>
      <c r="BI24" s="147">
        <f t="shared" si="21"/>
        <v>31824140</v>
      </c>
      <c r="BJ24" s="147">
        <f t="shared" si="21"/>
        <v>0</v>
      </c>
      <c r="BK24" s="147">
        <f t="shared" si="21"/>
        <v>167990457</v>
      </c>
      <c r="BL24" s="147">
        <f t="shared" si="21"/>
        <v>0</v>
      </c>
      <c r="BM24" s="147">
        <f t="shared" si="21"/>
        <v>0</v>
      </c>
      <c r="BN24" s="147">
        <f t="shared" si="21"/>
        <v>0</v>
      </c>
      <c r="BO24" s="147">
        <f t="shared" si="21"/>
        <v>0</v>
      </c>
      <c r="BP24" s="147">
        <f t="shared" si="21"/>
        <v>0</v>
      </c>
      <c r="BQ24" s="147">
        <f t="shared" si="21"/>
        <v>0</v>
      </c>
      <c r="BR24" s="147">
        <f t="shared" si="21"/>
        <v>0</v>
      </c>
      <c r="BS24" s="147">
        <f t="shared" si="21"/>
        <v>5303966</v>
      </c>
      <c r="BT24" s="147">
        <f t="shared" si="21"/>
        <v>0</v>
      </c>
      <c r="BU24" s="147">
        <f t="shared" si="21"/>
        <v>0</v>
      </c>
      <c r="BV24" s="147">
        <f t="shared" si="21"/>
        <v>0</v>
      </c>
      <c r="BW24" s="147">
        <f t="shared" si="21"/>
        <v>0</v>
      </c>
      <c r="BX24" s="147">
        <f t="shared" si="21"/>
        <v>0</v>
      </c>
      <c r="BY24" s="147">
        <f t="shared" si="21"/>
        <v>6936130</v>
      </c>
      <c r="BZ24" s="147">
        <f t="shared" si="21"/>
        <v>0</v>
      </c>
      <c r="CA24" s="147">
        <f t="shared" si="21"/>
        <v>0</v>
      </c>
      <c r="CB24" s="147">
        <f t="shared" si="21"/>
        <v>0</v>
      </c>
      <c r="CC24" s="147">
        <f t="shared" si="21"/>
        <v>47633503</v>
      </c>
      <c r="CD24" s="147">
        <f t="shared" si="21"/>
        <v>80093517</v>
      </c>
      <c r="CE24" s="59">
        <f t="shared" si="6"/>
        <v>0.43103190126263313</v>
      </c>
      <c r="CF24" s="147">
        <f t="shared" si="21"/>
        <v>847466799</v>
      </c>
      <c r="CG24" s="147">
        <f t="shared" si="21"/>
        <v>0</v>
      </c>
      <c r="CH24" s="147">
        <f t="shared" si="21"/>
        <v>238177609</v>
      </c>
      <c r="CI24" s="147">
        <f t="shared" si="21"/>
        <v>0</v>
      </c>
      <c r="CJ24" s="147">
        <f t="shared" si="21"/>
        <v>0</v>
      </c>
      <c r="CK24" s="147">
        <f t="shared" si="21"/>
        <v>0</v>
      </c>
      <c r="CL24" s="147">
        <f t="shared" si="21"/>
        <v>0</v>
      </c>
      <c r="CM24" s="147">
        <f t="shared" si="21"/>
        <v>0</v>
      </c>
      <c r="CN24" s="147">
        <f t="shared" si="21"/>
        <v>0</v>
      </c>
      <c r="CO24" s="147">
        <f t="shared" si="21"/>
        <v>0</v>
      </c>
      <c r="CP24" s="147">
        <f t="shared" si="21"/>
        <v>0</v>
      </c>
      <c r="CQ24" s="147">
        <f t="shared" si="21"/>
        <v>0</v>
      </c>
      <c r="CR24" s="147">
        <f t="shared" si="21"/>
        <v>383850234</v>
      </c>
      <c r="CS24" s="147">
        <f t="shared" si="21"/>
        <v>0</v>
      </c>
      <c r="CT24" s="147">
        <f t="shared" si="21"/>
        <v>0</v>
      </c>
      <c r="CU24" s="147">
        <f t="shared" si="21"/>
        <v>0</v>
      </c>
      <c r="CV24" s="147">
        <f t="shared" si="21"/>
        <v>0</v>
      </c>
      <c r="CW24" s="147">
        <f t="shared" si="21"/>
        <v>0</v>
      </c>
      <c r="CX24" s="147">
        <f t="shared" si="21"/>
        <v>43063870</v>
      </c>
      <c r="CY24" s="147">
        <f t="shared" si="21"/>
        <v>0</v>
      </c>
      <c r="CZ24" s="147">
        <f t="shared" si="21"/>
        <v>0</v>
      </c>
      <c r="DA24" s="147">
        <f t="shared" si="21"/>
        <v>0</v>
      </c>
      <c r="DB24" s="147">
        <f t="shared" si="21"/>
        <v>56673333</v>
      </c>
      <c r="DC24" s="147">
        <f t="shared" si="21"/>
        <v>125701753</v>
      </c>
      <c r="DD24" s="59">
        <f t="shared" si="8"/>
        <v>0.56896809873736687</v>
      </c>
      <c r="DE24" s="147">
        <f>SUM(DE6:DE23)</f>
        <v>1118667950</v>
      </c>
      <c r="DF24" s="43">
        <f t="shared" ref="DF24:EB24" si="22">SUM(DF6:DF23)</f>
        <v>0</v>
      </c>
      <c r="DG24" s="43">
        <f t="shared" si="22"/>
        <v>97936483</v>
      </c>
      <c r="DH24" s="43">
        <f t="shared" si="22"/>
        <v>0</v>
      </c>
      <c r="DI24" s="43">
        <f t="shared" si="22"/>
        <v>281990457</v>
      </c>
      <c r="DJ24" s="43">
        <f t="shared" si="22"/>
        <v>0</v>
      </c>
      <c r="DK24" s="43">
        <f t="shared" si="22"/>
        <v>0</v>
      </c>
      <c r="DL24" s="43">
        <f t="shared" si="22"/>
        <v>0</v>
      </c>
      <c r="DM24" s="43">
        <f t="shared" si="22"/>
        <v>0</v>
      </c>
      <c r="DN24" s="43">
        <f t="shared" si="22"/>
        <v>0</v>
      </c>
      <c r="DO24" s="43">
        <f t="shared" si="22"/>
        <v>0</v>
      </c>
      <c r="DP24" s="43">
        <f t="shared" si="22"/>
        <v>0</v>
      </c>
      <c r="DQ24" s="43">
        <f t="shared" si="22"/>
        <v>99004983</v>
      </c>
      <c r="DR24" s="43">
        <f t="shared" si="22"/>
        <v>0</v>
      </c>
      <c r="DS24" s="43">
        <f t="shared" si="22"/>
        <v>0</v>
      </c>
      <c r="DT24" s="43">
        <f t="shared" si="22"/>
        <v>0</v>
      </c>
      <c r="DU24" s="43">
        <f t="shared" si="22"/>
        <v>0</v>
      </c>
      <c r="DV24" s="43">
        <f t="shared" si="22"/>
        <v>0</v>
      </c>
      <c r="DW24" s="43">
        <f t="shared" si="22"/>
        <v>6936130</v>
      </c>
      <c r="DX24" s="43">
        <f t="shared" si="22"/>
        <v>0</v>
      </c>
      <c r="DY24" s="43">
        <f t="shared" si="22"/>
        <v>0</v>
      </c>
      <c r="DZ24" s="43">
        <f t="shared" si="22"/>
        <v>0</v>
      </c>
      <c r="EA24" s="43">
        <f t="shared" si="22"/>
        <v>443460170</v>
      </c>
      <c r="EB24" s="43">
        <f t="shared" si="22"/>
        <v>189339727</v>
      </c>
      <c r="ED24" s="149" t="s">
        <v>381</v>
      </c>
      <c r="EE24" s="45">
        <f>+G24</f>
        <v>1966134749</v>
      </c>
      <c r="EF24" s="45">
        <f>+CF24</f>
        <v>847466799</v>
      </c>
      <c r="EG24" s="159">
        <f>+CE24</f>
        <v>0.43103190126263313</v>
      </c>
    </row>
    <row r="25" spans="1:137" ht="24" hidden="1" customHeight="1" thickTop="1" x14ac:dyDescent="0.25">
      <c r="A25" s="46" t="s">
        <v>99</v>
      </c>
      <c r="B25" s="228" t="s">
        <v>100</v>
      </c>
      <c r="C25" s="187" t="s">
        <v>101</v>
      </c>
      <c r="D25" s="33" t="s">
        <v>102</v>
      </c>
      <c r="E25" s="33">
        <v>410</v>
      </c>
      <c r="F25" s="188" t="s">
        <v>103</v>
      </c>
      <c r="G25" s="24">
        <f t="shared" ref="G25:G49" si="23">SUM(J25:AF25)</f>
        <v>86899995</v>
      </c>
      <c r="H25" s="25">
        <f>+[7]SI!$F$5</f>
        <v>140000000</v>
      </c>
      <c r="I25" s="25">
        <f>+H25-G25</f>
        <v>53100005</v>
      </c>
      <c r="J25" s="24"/>
      <c r="K25" s="24"/>
      <c r="L25" s="24"/>
      <c r="M25" s="24"/>
      <c r="N25" s="24"/>
      <c r="O25" s="24"/>
      <c r="P25" s="24"/>
      <c r="Q25" s="24">
        <f>41000000+20000000-1000000-21423334+3323329</f>
        <v>41899995</v>
      </c>
      <c r="R25" s="24">
        <v>15000000</v>
      </c>
      <c r="S25" s="24">
        <v>15000000</v>
      </c>
      <c r="T25" s="24">
        <v>15000000</v>
      </c>
      <c r="U25" s="47"/>
      <c r="V25" s="47"/>
      <c r="W25" s="47"/>
      <c r="X25" s="47"/>
      <c r="Y25" s="47"/>
      <c r="Z25" s="24"/>
      <c r="AA25" s="47"/>
      <c r="AB25" s="47"/>
      <c r="AC25" s="47"/>
      <c r="AD25" s="47"/>
      <c r="AE25" s="47"/>
      <c r="AF25" s="47">
        <f>35000000-35000000</f>
        <v>0</v>
      </c>
      <c r="AG25" s="48">
        <f t="shared" si="1"/>
        <v>0.48216337641906654</v>
      </c>
      <c r="AH25" s="24">
        <f t="shared" ref="AH25:AH49" si="24">SUM(AI25:BE25)</f>
        <v>41899995</v>
      </c>
      <c r="AI25" s="24"/>
      <c r="AJ25" s="24"/>
      <c r="AK25" s="24"/>
      <c r="AL25" s="24"/>
      <c r="AM25" s="24"/>
      <c r="AN25" s="24"/>
      <c r="AO25" s="24"/>
      <c r="AP25" s="24">
        <f>+[3]SEPTIEMBRE!$Q$1374</f>
        <v>41899995</v>
      </c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48">
        <f t="shared" si="12"/>
        <v>0.51783662358093352</v>
      </c>
      <c r="BG25" s="24">
        <f t="shared" ref="BG25:BG49" si="25">SUM(BH25:CD25)</f>
        <v>45000000</v>
      </c>
      <c r="BH25" s="24">
        <f t="shared" ref="BH25:BW40" si="26">+J25-AI25</f>
        <v>0</v>
      </c>
      <c r="BI25" s="24">
        <f t="shared" si="26"/>
        <v>0</v>
      </c>
      <c r="BJ25" s="24">
        <f t="shared" si="26"/>
        <v>0</v>
      </c>
      <c r="BK25" s="24">
        <f t="shared" si="26"/>
        <v>0</v>
      </c>
      <c r="BL25" s="24">
        <f t="shared" si="26"/>
        <v>0</v>
      </c>
      <c r="BM25" s="24">
        <f t="shared" si="26"/>
        <v>0</v>
      </c>
      <c r="BN25" s="24">
        <f t="shared" si="26"/>
        <v>0</v>
      </c>
      <c r="BO25" s="24">
        <f t="shared" si="26"/>
        <v>0</v>
      </c>
      <c r="BP25" s="24">
        <f t="shared" si="26"/>
        <v>15000000</v>
      </c>
      <c r="BQ25" s="24">
        <f t="shared" si="26"/>
        <v>15000000</v>
      </c>
      <c r="BR25" s="24">
        <f t="shared" si="26"/>
        <v>15000000</v>
      </c>
      <c r="BS25" s="24">
        <f t="shared" si="26"/>
        <v>0</v>
      </c>
      <c r="BT25" s="24">
        <f t="shared" si="26"/>
        <v>0</v>
      </c>
      <c r="BU25" s="24">
        <f t="shared" si="26"/>
        <v>0</v>
      </c>
      <c r="BV25" s="24">
        <f t="shared" si="26"/>
        <v>0</v>
      </c>
      <c r="BW25" s="24">
        <f t="shared" si="26"/>
        <v>0</v>
      </c>
      <c r="BX25" s="24">
        <f t="shared" ref="BX25:CD49" si="27">+Z25-AY25</f>
        <v>0</v>
      </c>
      <c r="BY25" s="24">
        <f t="shared" si="27"/>
        <v>0</v>
      </c>
      <c r="BZ25" s="24">
        <f t="shared" si="27"/>
        <v>0</v>
      </c>
      <c r="CA25" s="24">
        <f t="shared" si="27"/>
        <v>0</v>
      </c>
      <c r="CB25" s="24">
        <f t="shared" si="27"/>
        <v>0</v>
      </c>
      <c r="CC25" s="24">
        <f t="shared" si="27"/>
        <v>0</v>
      </c>
      <c r="CD25" s="24">
        <f t="shared" si="27"/>
        <v>0</v>
      </c>
      <c r="CE25" s="48">
        <f t="shared" si="6"/>
        <v>0.23590329320502262</v>
      </c>
      <c r="CF25" s="49">
        <f t="shared" ref="CF25:CF49" si="28">SUM(CG25:DC25)</f>
        <v>20499995</v>
      </c>
      <c r="CG25" s="49"/>
      <c r="CH25" s="49"/>
      <c r="CI25" s="49"/>
      <c r="CJ25" s="49"/>
      <c r="CK25" s="49"/>
      <c r="CL25" s="49"/>
      <c r="CM25" s="49"/>
      <c r="CN25" s="49">
        <f>+[8]AGOSTO!$H$1257+[2]OCTUBRE!$H$1467</f>
        <v>20499995</v>
      </c>
      <c r="CO25" s="49"/>
      <c r="CP25" s="49"/>
      <c r="CQ25" s="49"/>
      <c r="CR25" s="49"/>
      <c r="CS25" s="49"/>
      <c r="CT25" s="49"/>
      <c r="CU25" s="49"/>
      <c r="CV25" s="49"/>
      <c r="CW25" s="49"/>
      <c r="CX25" s="49"/>
      <c r="CY25" s="49"/>
      <c r="CZ25" s="49"/>
      <c r="DA25" s="49"/>
      <c r="DB25" s="49"/>
      <c r="DC25" s="49"/>
      <c r="DD25" s="48">
        <f t="shared" si="8"/>
        <v>0.76409670679497732</v>
      </c>
      <c r="DE25" s="24">
        <f t="shared" ref="DE25:DE49" si="29">SUM(DF25:EB25)</f>
        <v>66400000</v>
      </c>
      <c r="DF25" s="24">
        <f t="shared" ref="DF25:DU40" si="30">+J25-CG25</f>
        <v>0</v>
      </c>
      <c r="DG25" s="24">
        <f t="shared" si="30"/>
        <v>0</v>
      </c>
      <c r="DH25" s="24">
        <f t="shared" si="30"/>
        <v>0</v>
      </c>
      <c r="DI25" s="24">
        <f t="shared" si="30"/>
        <v>0</v>
      </c>
      <c r="DJ25" s="24">
        <f t="shared" si="30"/>
        <v>0</v>
      </c>
      <c r="DK25" s="24">
        <f t="shared" si="30"/>
        <v>0</v>
      </c>
      <c r="DL25" s="24">
        <f t="shared" si="30"/>
        <v>0</v>
      </c>
      <c r="DM25" s="24">
        <f t="shared" si="30"/>
        <v>21400000</v>
      </c>
      <c r="DN25" s="24">
        <f t="shared" si="30"/>
        <v>15000000</v>
      </c>
      <c r="DO25" s="24">
        <f t="shared" si="30"/>
        <v>15000000</v>
      </c>
      <c r="DP25" s="24">
        <f t="shared" si="30"/>
        <v>15000000</v>
      </c>
      <c r="DQ25" s="24">
        <f t="shared" si="30"/>
        <v>0</v>
      </c>
      <c r="DR25" s="24">
        <f t="shared" si="30"/>
        <v>0</v>
      </c>
      <c r="DS25" s="24">
        <f t="shared" si="30"/>
        <v>0</v>
      </c>
      <c r="DT25" s="24">
        <f t="shared" si="30"/>
        <v>0</v>
      </c>
      <c r="DU25" s="24">
        <f t="shared" si="30"/>
        <v>0</v>
      </c>
      <c r="DV25" s="24">
        <f t="shared" ref="DV25:EB49" si="31">+Z25-CW25</f>
        <v>0</v>
      </c>
      <c r="DW25" s="24">
        <f t="shared" si="31"/>
        <v>0</v>
      </c>
      <c r="DX25" s="24">
        <f t="shared" si="31"/>
        <v>0</v>
      </c>
      <c r="DY25" s="24">
        <f t="shared" si="31"/>
        <v>0</v>
      </c>
      <c r="DZ25" s="24">
        <f t="shared" si="31"/>
        <v>0</v>
      </c>
      <c r="EA25" s="24">
        <f t="shared" si="31"/>
        <v>0</v>
      </c>
      <c r="EB25" s="24">
        <f t="shared" si="31"/>
        <v>0</v>
      </c>
      <c r="ED25" s="150"/>
      <c r="EE25" s="45">
        <f t="shared" ref="EE25:EE88" si="32">+G25</f>
        <v>86899995</v>
      </c>
      <c r="EF25" s="45">
        <f t="shared" ref="EF25:EF88" si="33">+CF25</f>
        <v>20499995</v>
      </c>
      <c r="EG25" s="159">
        <f t="shared" ref="EG25:EG88" si="34">+CE25</f>
        <v>0.23590329320502262</v>
      </c>
    </row>
    <row r="26" spans="1:137" ht="25.15" hidden="1" customHeight="1" x14ac:dyDescent="0.25">
      <c r="A26" s="32"/>
      <c r="B26" s="229"/>
      <c r="C26" s="187" t="s">
        <v>104</v>
      </c>
      <c r="D26" s="33" t="s">
        <v>105</v>
      </c>
      <c r="E26" s="33">
        <v>410</v>
      </c>
      <c r="F26" s="188" t="s">
        <v>103</v>
      </c>
      <c r="G26" s="24">
        <f t="shared" si="23"/>
        <v>3000000</v>
      </c>
      <c r="H26" s="25">
        <f>+[7]SI!$F$7</f>
        <v>36000000</v>
      </c>
      <c r="I26" s="25">
        <f t="shared" ref="I26:I49" si="35">+H26-G26</f>
        <v>33000000</v>
      </c>
      <c r="J26" s="24"/>
      <c r="K26" s="24"/>
      <c r="L26" s="24"/>
      <c r="M26" s="24"/>
      <c r="N26" s="24"/>
      <c r="O26" s="24"/>
      <c r="P26" s="24"/>
      <c r="Q26" s="24">
        <f>1000000+2000000</f>
        <v>3000000</v>
      </c>
      <c r="R26" s="47"/>
      <c r="S26" s="47"/>
      <c r="T26" s="47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47">
        <f>35000000-35000000</f>
        <v>0</v>
      </c>
      <c r="AG26" s="27">
        <f t="shared" si="1"/>
        <v>0.66666666666666663</v>
      </c>
      <c r="AH26" s="24">
        <f t="shared" si="24"/>
        <v>2000000</v>
      </c>
      <c r="AI26" s="24"/>
      <c r="AJ26" s="24"/>
      <c r="AK26" s="24"/>
      <c r="AL26" s="24"/>
      <c r="AM26" s="24"/>
      <c r="AN26" s="24"/>
      <c r="AO26" s="24"/>
      <c r="AP26" s="24">
        <f>+[3]SEPTIEMBRE!$Q$1393</f>
        <v>2000000</v>
      </c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7">
        <f t="shared" si="12"/>
        <v>0.33333333333333337</v>
      </c>
      <c r="BG26" s="24">
        <f t="shared" si="25"/>
        <v>1000000</v>
      </c>
      <c r="BH26" s="24">
        <f t="shared" si="26"/>
        <v>0</v>
      </c>
      <c r="BI26" s="24">
        <f t="shared" si="26"/>
        <v>0</v>
      </c>
      <c r="BJ26" s="24">
        <f t="shared" si="26"/>
        <v>0</v>
      </c>
      <c r="BK26" s="24">
        <f t="shared" si="26"/>
        <v>0</v>
      </c>
      <c r="BL26" s="24">
        <f t="shared" si="26"/>
        <v>0</v>
      </c>
      <c r="BM26" s="24">
        <f t="shared" si="26"/>
        <v>0</v>
      </c>
      <c r="BN26" s="24">
        <f t="shared" si="26"/>
        <v>0</v>
      </c>
      <c r="BO26" s="24">
        <f t="shared" si="26"/>
        <v>1000000</v>
      </c>
      <c r="BP26" s="24">
        <f t="shared" si="26"/>
        <v>0</v>
      </c>
      <c r="BQ26" s="24">
        <f t="shared" si="26"/>
        <v>0</v>
      </c>
      <c r="BR26" s="24">
        <f t="shared" si="26"/>
        <v>0</v>
      </c>
      <c r="BS26" s="24">
        <f t="shared" si="26"/>
        <v>0</v>
      </c>
      <c r="BT26" s="24">
        <f t="shared" si="26"/>
        <v>0</v>
      </c>
      <c r="BU26" s="24">
        <f t="shared" si="26"/>
        <v>0</v>
      </c>
      <c r="BV26" s="24">
        <f t="shared" si="26"/>
        <v>0</v>
      </c>
      <c r="BW26" s="24">
        <f t="shared" si="26"/>
        <v>0</v>
      </c>
      <c r="BX26" s="24">
        <f t="shared" si="27"/>
        <v>0</v>
      </c>
      <c r="BY26" s="24">
        <f t="shared" si="27"/>
        <v>0</v>
      </c>
      <c r="BZ26" s="24">
        <f t="shared" si="27"/>
        <v>0</v>
      </c>
      <c r="CA26" s="24">
        <f t="shared" si="27"/>
        <v>0</v>
      </c>
      <c r="CB26" s="24">
        <f t="shared" si="27"/>
        <v>0</v>
      </c>
      <c r="CC26" s="24">
        <f t="shared" si="27"/>
        <v>0</v>
      </c>
      <c r="CD26" s="24">
        <f t="shared" si="27"/>
        <v>0</v>
      </c>
      <c r="CE26" s="27">
        <f t="shared" si="6"/>
        <v>0</v>
      </c>
      <c r="CF26" s="24">
        <f t="shared" si="28"/>
        <v>0</v>
      </c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7">
        <f t="shared" si="8"/>
        <v>1</v>
      </c>
      <c r="DE26" s="24">
        <f t="shared" si="29"/>
        <v>3000000</v>
      </c>
      <c r="DF26" s="24">
        <f t="shared" si="30"/>
        <v>0</v>
      </c>
      <c r="DG26" s="24">
        <f t="shared" si="30"/>
        <v>0</v>
      </c>
      <c r="DH26" s="24">
        <f t="shared" si="30"/>
        <v>0</v>
      </c>
      <c r="DI26" s="24">
        <f t="shared" si="30"/>
        <v>0</v>
      </c>
      <c r="DJ26" s="24">
        <f t="shared" si="30"/>
        <v>0</v>
      </c>
      <c r="DK26" s="24">
        <f t="shared" si="30"/>
        <v>0</v>
      </c>
      <c r="DL26" s="24">
        <f t="shared" si="30"/>
        <v>0</v>
      </c>
      <c r="DM26" s="24">
        <f t="shared" si="30"/>
        <v>3000000</v>
      </c>
      <c r="DN26" s="24">
        <f t="shared" si="30"/>
        <v>0</v>
      </c>
      <c r="DO26" s="24">
        <f t="shared" si="30"/>
        <v>0</v>
      </c>
      <c r="DP26" s="24">
        <f t="shared" si="30"/>
        <v>0</v>
      </c>
      <c r="DQ26" s="24">
        <f t="shared" si="30"/>
        <v>0</v>
      </c>
      <c r="DR26" s="24">
        <f t="shared" si="30"/>
        <v>0</v>
      </c>
      <c r="DS26" s="24">
        <f t="shared" si="30"/>
        <v>0</v>
      </c>
      <c r="DT26" s="24">
        <f t="shared" si="30"/>
        <v>0</v>
      </c>
      <c r="DU26" s="24">
        <f t="shared" si="30"/>
        <v>0</v>
      </c>
      <c r="DV26" s="24">
        <f t="shared" si="31"/>
        <v>0</v>
      </c>
      <c r="DW26" s="24">
        <f t="shared" si="31"/>
        <v>0</v>
      </c>
      <c r="DX26" s="24">
        <f t="shared" si="31"/>
        <v>0</v>
      </c>
      <c r="DY26" s="24">
        <f t="shared" si="31"/>
        <v>0</v>
      </c>
      <c r="DZ26" s="24">
        <f t="shared" si="31"/>
        <v>0</v>
      </c>
      <c r="EA26" s="24">
        <f t="shared" si="31"/>
        <v>0</v>
      </c>
      <c r="EB26" s="24">
        <f t="shared" si="31"/>
        <v>0</v>
      </c>
      <c r="ED26" s="150"/>
      <c r="EE26" s="45">
        <f t="shared" si="32"/>
        <v>3000000</v>
      </c>
      <c r="EF26" s="45">
        <f t="shared" si="33"/>
        <v>0</v>
      </c>
      <c r="EG26" s="159">
        <f t="shared" si="34"/>
        <v>0</v>
      </c>
    </row>
    <row r="27" spans="1:137" ht="36" hidden="1" customHeight="1" x14ac:dyDescent="0.25">
      <c r="A27" s="32"/>
      <c r="B27" s="230" t="s">
        <v>106</v>
      </c>
      <c r="C27" s="189" t="s">
        <v>107</v>
      </c>
      <c r="D27" s="190" t="s">
        <v>108</v>
      </c>
      <c r="E27" s="33">
        <v>410</v>
      </c>
      <c r="F27" s="188" t="s">
        <v>109</v>
      </c>
      <c r="G27" s="24">
        <f t="shared" si="23"/>
        <v>225167015</v>
      </c>
      <c r="H27" s="25">
        <f>+[7]SI!$F13</f>
        <v>215800000</v>
      </c>
      <c r="I27" s="25">
        <f t="shared" si="35"/>
        <v>-9367015</v>
      </c>
      <c r="J27" s="24"/>
      <c r="K27" s="24"/>
      <c r="L27" s="24"/>
      <c r="M27" s="24"/>
      <c r="N27" s="24"/>
      <c r="O27" s="24"/>
      <c r="P27" s="24"/>
      <c r="Q27" s="24">
        <f>61000000+28232274-50000000</f>
        <v>39232274</v>
      </c>
      <c r="R27" s="24">
        <f>20000000-5000000</f>
        <v>15000000</v>
      </c>
      <c r="S27" s="24">
        <f>40000000-20000000</f>
        <v>20000000</v>
      </c>
      <c r="T27" s="24">
        <f>20000000+25134741</f>
        <v>45134741</v>
      </c>
      <c r="U27" s="24"/>
      <c r="V27" s="24"/>
      <c r="W27" s="24"/>
      <c r="X27" s="24"/>
      <c r="Y27" s="24"/>
      <c r="Z27" s="24"/>
      <c r="AA27" s="24"/>
      <c r="AB27" s="24">
        <v>41846492</v>
      </c>
      <c r="AC27" s="24"/>
      <c r="AD27" s="24"/>
      <c r="AE27" s="24"/>
      <c r="AF27" s="24">
        <f>93953508-30000000</f>
        <v>63953508</v>
      </c>
      <c r="AG27" s="27">
        <f t="shared" si="1"/>
        <v>0.81687903088292035</v>
      </c>
      <c r="AH27" s="24">
        <f t="shared" si="24"/>
        <v>183934213</v>
      </c>
      <c r="AI27" s="24"/>
      <c r="AJ27" s="24"/>
      <c r="AK27" s="24"/>
      <c r="AL27" s="24"/>
      <c r="AM27" s="24"/>
      <c r="AN27" s="24"/>
      <c r="AO27" s="24"/>
      <c r="AP27" s="24">
        <f>+[3]SEPTIEMBRE!$Q$1402</f>
        <v>39232274</v>
      </c>
      <c r="AQ27" s="24">
        <f>+[3]SEPTIEMBRE!$R$1402</f>
        <v>15000000</v>
      </c>
      <c r="AR27" s="24">
        <f>+[3]SEPTIEMBRE!$S$1402</f>
        <v>20000000</v>
      </c>
      <c r="AS27" s="24">
        <f>+[3]SEPTIEMBRE!$T$1402</f>
        <v>45134741</v>
      </c>
      <c r="AT27" s="24"/>
      <c r="AU27" s="24"/>
      <c r="AV27" s="24"/>
      <c r="AW27" s="24"/>
      <c r="AX27" s="24"/>
      <c r="AY27" s="24"/>
      <c r="AZ27" s="24"/>
      <c r="BA27" s="24">
        <f>+'[9]ENERO 2020'!$AB$1196</f>
        <v>41846492</v>
      </c>
      <c r="BB27" s="24"/>
      <c r="BC27" s="24"/>
      <c r="BD27" s="24"/>
      <c r="BE27" s="24">
        <f>+[2]OCTUBRE!$AG$1485</f>
        <v>22720706</v>
      </c>
      <c r="BF27" s="27">
        <f t="shared" si="12"/>
        <v>0.18312096911707965</v>
      </c>
      <c r="BG27" s="24">
        <f t="shared" si="25"/>
        <v>41232802</v>
      </c>
      <c r="BH27" s="24">
        <f t="shared" si="26"/>
        <v>0</v>
      </c>
      <c r="BI27" s="24">
        <f t="shared" si="26"/>
        <v>0</v>
      </c>
      <c r="BJ27" s="24">
        <f t="shared" si="26"/>
        <v>0</v>
      </c>
      <c r="BK27" s="24">
        <f t="shared" si="26"/>
        <v>0</v>
      </c>
      <c r="BL27" s="24">
        <f t="shared" si="26"/>
        <v>0</v>
      </c>
      <c r="BM27" s="24">
        <f t="shared" si="26"/>
        <v>0</v>
      </c>
      <c r="BN27" s="24">
        <f t="shared" si="26"/>
        <v>0</v>
      </c>
      <c r="BO27" s="24">
        <f t="shared" si="26"/>
        <v>0</v>
      </c>
      <c r="BP27" s="24">
        <f t="shared" si="26"/>
        <v>0</v>
      </c>
      <c r="BQ27" s="24">
        <f t="shared" si="26"/>
        <v>0</v>
      </c>
      <c r="BR27" s="24">
        <f t="shared" si="26"/>
        <v>0</v>
      </c>
      <c r="BS27" s="24">
        <f t="shared" si="26"/>
        <v>0</v>
      </c>
      <c r="BT27" s="24">
        <f t="shared" si="26"/>
        <v>0</v>
      </c>
      <c r="BU27" s="24">
        <f t="shared" si="26"/>
        <v>0</v>
      </c>
      <c r="BV27" s="24">
        <f t="shared" si="26"/>
        <v>0</v>
      </c>
      <c r="BW27" s="24">
        <f t="shared" si="26"/>
        <v>0</v>
      </c>
      <c r="BX27" s="24">
        <f t="shared" si="27"/>
        <v>0</v>
      </c>
      <c r="BY27" s="24">
        <f t="shared" si="27"/>
        <v>0</v>
      </c>
      <c r="BZ27" s="24">
        <f t="shared" si="27"/>
        <v>0</v>
      </c>
      <c r="CA27" s="24">
        <f t="shared" si="27"/>
        <v>0</v>
      </c>
      <c r="CB27" s="24">
        <f t="shared" si="27"/>
        <v>0</v>
      </c>
      <c r="CC27" s="24">
        <f t="shared" si="27"/>
        <v>0</v>
      </c>
      <c r="CD27" s="24">
        <f t="shared" si="27"/>
        <v>41232802</v>
      </c>
      <c r="CE27" s="27">
        <f t="shared" si="6"/>
        <v>0.11296199401142303</v>
      </c>
      <c r="CF27" s="24">
        <f t="shared" si="28"/>
        <v>25435315</v>
      </c>
      <c r="CG27" s="24"/>
      <c r="CH27" s="24"/>
      <c r="CI27" s="24"/>
      <c r="CJ27" s="24"/>
      <c r="CK27" s="24"/>
      <c r="CL27" s="24"/>
      <c r="CM27" s="24"/>
      <c r="CN27" s="24"/>
      <c r="CO27" s="24"/>
      <c r="CP27" s="24">
        <f>+[3]SEPTIEMBRE!$H$1428</f>
        <v>1056000</v>
      </c>
      <c r="CQ27" s="24"/>
      <c r="CR27" s="24"/>
      <c r="CS27" s="24"/>
      <c r="CT27" s="24"/>
      <c r="CU27" s="24"/>
      <c r="CV27" s="24"/>
      <c r="CW27" s="24"/>
      <c r="CX27" s="24"/>
      <c r="CY27" s="24">
        <f>+[2]OCTUBRE!$H$1486</f>
        <v>10830500</v>
      </c>
      <c r="CZ27" s="24"/>
      <c r="DA27" s="24"/>
      <c r="DB27" s="24"/>
      <c r="DC27" s="24">
        <f>+[2]OCTUBRE!$H$1503+[2]OCTUBRE!$H$1509</f>
        <v>13548815</v>
      </c>
      <c r="DD27" s="27">
        <f t="shared" si="8"/>
        <v>0.88703800598857696</v>
      </c>
      <c r="DE27" s="24">
        <f t="shared" si="29"/>
        <v>199731700</v>
      </c>
      <c r="DF27" s="24">
        <f t="shared" si="30"/>
        <v>0</v>
      </c>
      <c r="DG27" s="24">
        <f t="shared" si="30"/>
        <v>0</v>
      </c>
      <c r="DH27" s="24">
        <f t="shared" si="30"/>
        <v>0</v>
      </c>
      <c r="DI27" s="24">
        <f t="shared" si="30"/>
        <v>0</v>
      </c>
      <c r="DJ27" s="24">
        <f t="shared" si="30"/>
        <v>0</v>
      </c>
      <c r="DK27" s="24">
        <f t="shared" si="30"/>
        <v>0</v>
      </c>
      <c r="DL27" s="24">
        <f t="shared" si="30"/>
        <v>0</v>
      </c>
      <c r="DM27" s="24">
        <f t="shared" si="30"/>
        <v>39232274</v>
      </c>
      <c r="DN27" s="24">
        <f t="shared" si="30"/>
        <v>15000000</v>
      </c>
      <c r="DO27" s="24">
        <f t="shared" si="30"/>
        <v>18944000</v>
      </c>
      <c r="DP27" s="24">
        <f t="shared" si="30"/>
        <v>45134741</v>
      </c>
      <c r="DQ27" s="24">
        <f t="shared" si="30"/>
        <v>0</v>
      </c>
      <c r="DR27" s="24">
        <f t="shared" si="30"/>
        <v>0</v>
      </c>
      <c r="DS27" s="24">
        <f t="shared" si="30"/>
        <v>0</v>
      </c>
      <c r="DT27" s="24">
        <f t="shared" si="30"/>
        <v>0</v>
      </c>
      <c r="DU27" s="24">
        <f t="shared" si="30"/>
        <v>0</v>
      </c>
      <c r="DV27" s="24">
        <f t="shared" si="31"/>
        <v>0</v>
      </c>
      <c r="DW27" s="24">
        <f t="shared" si="31"/>
        <v>0</v>
      </c>
      <c r="DX27" s="24">
        <f t="shared" si="31"/>
        <v>31015992</v>
      </c>
      <c r="DY27" s="24">
        <f t="shared" si="31"/>
        <v>0</v>
      </c>
      <c r="DZ27" s="24">
        <f t="shared" si="31"/>
        <v>0</v>
      </c>
      <c r="EA27" s="24">
        <f t="shared" si="31"/>
        <v>0</v>
      </c>
      <c r="EB27" s="24">
        <f t="shared" si="31"/>
        <v>50404693</v>
      </c>
      <c r="ED27" s="150"/>
      <c r="EE27" s="45">
        <f t="shared" si="32"/>
        <v>225167015</v>
      </c>
      <c r="EF27" s="45">
        <f t="shared" si="33"/>
        <v>25435315</v>
      </c>
      <c r="EG27" s="159">
        <f t="shared" si="34"/>
        <v>0.11296199401142303</v>
      </c>
    </row>
    <row r="28" spans="1:137" ht="18" hidden="1" customHeight="1" x14ac:dyDescent="0.25">
      <c r="A28" s="32"/>
      <c r="B28" s="230"/>
      <c r="C28" s="187" t="s">
        <v>110</v>
      </c>
      <c r="D28" s="190" t="s">
        <v>111</v>
      </c>
      <c r="E28" s="33">
        <v>410</v>
      </c>
      <c r="F28" s="188" t="s">
        <v>112</v>
      </c>
      <c r="G28" s="24">
        <f t="shared" si="23"/>
        <v>8487690</v>
      </c>
      <c r="H28" s="25">
        <f>+[7]SI!$F14</f>
        <v>41500000</v>
      </c>
      <c r="I28" s="25">
        <f t="shared" si="35"/>
        <v>33012310</v>
      </c>
      <c r="J28" s="24"/>
      <c r="K28" s="24"/>
      <c r="L28" s="24"/>
      <c r="M28" s="24"/>
      <c r="N28" s="24"/>
      <c r="O28" s="24"/>
      <c r="P28" s="24"/>
      <c r="Q28" s="24">
        <f>31500000+10000000-12728640-20283670</f>
        <v>8487690</v>
      </c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7">
        <f t="shared" si="1"/>
        <v>1</v>
      </c>
      <c r="AH28" s="24">
        <f t="shared" si="24"/>
        <v>8487690</v>
      </c>
      <c r="AI28" s="24"/>
      <c r="AJ28" s="24"/>
      <c r="AK28" s="24"/>
      <c r="AL28" s="24"/>
      <c r="AM28" s="24"/>
      <c r="AN28" s="24"/>
      <c r="AO28" s="24"/>
      <c r="AP28" s="24">
        <f>+[3]SEPTIEMBRE!$G$1435</f>
        <v>8487690</v>
      </c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7">
        <f t="shared" si="12"/>
        <v>0</v>
      </c>
      <c r="BG28" s="24">
        <f t="shared" si="25"/>
        <v>0</v>
      </c>
      <c r="BH28" s="24">
        <f t="shared" si="26"/>
        <v>0</v>
      </c>
      <c r="BI28" s="24">
        <f t="shared" si="26"/>
        <v>0</v>
      </c>
      <c r="BJ28" s="24">
        <f t="shared" si="26"/>
        <v>0</v>
      </c>
      <c r="BK28" s="24">
        <f t="shared" si="26"/>
        <v>0</v>
      </c>
      <c r="BL28" s="24">
        <f t="shared" si="26"/>
        <v>0</v>
      </c>
      <c r="BM28" s="24">
        <f t="shared" si="26"/>
        <v>0</v>
      </c>
      <c r="BN28" s="24">
        <f t="shared" si="26"/>
        <v>0</v>
      </c>
      <c r="BO28" s="24">
        <f t="shared" si="26"/>
        <v>0</v>
      </c>
      <c r="BP28" s="24">
        <f t="shared" si="26"/>
        <v>0</v>
      </c>
      <c r="BQ28" s="24">
        <f t="shared" si="26"/>
        <v>0</v>
      </c>
      <c r="BR28" s="24">
        <f t="shared" si="26"/>
        <v>0</v>
      </c>
      <c r="BS28" s="24">
        <f t="shared" si="26"/>
        <v>0</v>
      </c>
      <c r="BT28" s="24">
        <f t="shared" si="26"/>
        <v>0</v>
      </c>
      <c r="BU28" s="24">
        <f t="shared" si="26"/>
        <v>0</v>
      </c>
      <c r="BV28" s="24">
        <f t="shared" si="26"/>
        <v>0</v>
      </c>
      <c r="BW28" s="24">
        <f t="shared" si="26"/>
        <v>0</v>
      </c>
      <c r="BX28" s="24">
        <f t="shared" si="27"/>
        <v>0</v>
      </c>
      <c r="BY28" s="24">
        <f t="shared" si="27"/>
        <v>0</v>
      </c>
      <c r="BZ28" s="24">
        <f t="shared" si="27"/>
        <v>0</v>
      </c>
      <c r="CA28" s="24">
        <f t="shared" si="27"/>
        <v>0</v>
      </c>
      <c r="CB28" s="24">
        <f t="shared" si="27"/>
        <v>0</v>
      </c>
      <c r="CC28" s="24">
        <f t="shared" si="27"/>
        <v>0</v>
      </c>
      <c r="CD28" s="24">
        <f t="shared" si="27"/>
        <v>0</v>
      </c>
      <c r="CE28" s="27">
        <f t="shared" si="6"/>
        <v>0.37436569903000699</v>
      </c>
      <c r="CF28" s="24">
        <f t="shared" si="28"/>
        <v>3177500</v>
      </c>
      <c r="CG28" s="24"/>
      <c r="CH28" s="24"/>
      <c r="CI28" s="24"/>
      <c r="CJ28" s="24"/>
      <c r="CK28" s="24"/>
      <c r="CL28" s="24"/>
      <c r="CM28" s="24"/>
      <c r="CN28" s="24">
        <f>+[8]AGOSTO!$H$1314+[2]OCTUBRE!$H$1536</f>
        <v>3177500</v>
      </c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7">
        <f t="shared" si="8"/>
        <v>0.62563430096999295</v>
      </c>
      <c r="DE28" s="24">
        <f t="shared" si="29"/>
        <v>5310190</v>
      </c>
      <c r="DF28" s="24">
        <f t="shared" si="30"/>
        <v>0</v>
      </c>
      <c r="DG28" s="24">
        <f t="shared" si="30"/>
        <v>0</v>
      </c>
      <c r="DH28" s="24">
        <f t="shared" si="30"/>
        <v>0</v>
      </c>
      <c r="DI28" s="24">
        <f t="shared" si="30"/>
        <v>0</v>
      </c>
      <c r="DJ28" s="24">
        <f t="shared" si="30"/>
        <v>0</v>
      </c>
      <c r="DK28" s="24">
        <f t="shared" si="30"/>
        <v>0</v>
      </c>
      <c r="DL28" s="24">
        <f t="shared" si="30"/>
        <v>0</v>
      </c>
      <c r="DM28" s="24">
        <f t="shared" si="30"/>
        <v>5310190</v>
      </c>
      <c r="DN28" s="24">
        <f t="shared" si="30"/>
        <v>0</v>
      </c>
      <c r="DO28" s="24">
        <f t="shared" si="30"/>
        <v>0</v>
      </c>
      <c r="DP28" s="24">
        <f t="shared" si="30"/>
        <v>0</v>
      </c>
      <c r="DQ28" s="24">
        <f t="shared" si="30"/>
        <v>0</v>
      </c>
      <c r="DR28" s="24">
        <f t="shared" si="30"/>
        <v>0</v>
      </c>
      <c r="DS28" s="24">
        <f t="shared" si="30"/>
        <v>0</v>
      </c>
      <c r="DT28" s="24">
        <f t="shared" si="30"/>
        <v>0</v>
      </c>
      <c r="DU28" s="24">
        <f t="shared" si="30"/>
        <v>0</v>
      </c>
      <c r="DV28" s="24">
        <f t="shared" si="31"/>
        <v>0</v>
      </c>
      <c r="DW28" s="24">
        <f t="shared" si="31"/>
        <v>0</v>
      </c>
      <c r="DX28" s="24">
        <f t="shared" si="31"/>
        <v>0</v>
      </c>
      <c r="DY28" s="24">
        <f t="shared" si="31"/>
        <v>0</v>
      </c>
      <c r="DZ28" s="24">
        <f t="shared" si="31"/>
        <v>0</v>
      </c>
      <c r="EA28" s="24">
        <f t="shared" si="31"/>
        <v>0</v>
      </c>
      <c r="EB28" s="24">
        <f t="shared" si="31"/>
        <v>0</v>
      </c>
      <c r="ED28" s="150"/>
      <c r="EE28" s="45">
        <f t="shared" si="32"/>
        <v>8487690</v>
      </c>
      <c r="EF28" s="45">
        <f t="shared" si="33"/>
        <v>3177500</v>
      </c>
      <c r="EG28" s="159">
        <f t="shared" si="34"/>
        <v>0.37436569903000699</v>
      </c>
    </row>
    <row r="29" spans="1:137" ht="19.149999999999999" hidden="1" customHeight="1" x14ac:dyDescent="0.25">
      <c r="A29" s="32"/>
      <c r="B29" s="230"/>
      <c r="C29" s="187" t="s">
        <v>113</v>
      </c>
      <c r="D29" s="190" t="s">
        <v>114</v>
      </c>
      <c r="E29" s="33">
        <v>410</v>
      </c>
      <c r="F29" s="188" t="s">
        <v>112</v>
      </c>
      <c r="G29" s="24">
        <f t="shared" si="23"/>
        <v>654979830</v>
      </c>
      <c r="H29" s="25">
        <f>+[7]SI!$F15</f>
        <v>996000000</v>
      </c>
      <c r="I29" s="25">
        <f t="shared" si="35"/>
        <v>341020170</v>
      </c>
      <c r="J29" s="24"/>
      <c r="K29" s="24"/>
      <c r="L29" s="24"/>
      <c r="M29" s="24"/>
      <c r="N29" s="24"/>
      <c r="O29" s="24"/>
      <c r="P29" s="24"/>
      <c r="Q29" s="24">
        <f>896000000+20000000+16846492+40000000-381020170</f>
        <v>591826322</v>
      </c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>
        <v>63153508</v>
      </c>
      <c r="AC29" s="24"/>
      <c r="AD29" s="24"/>
      <c r="AE29" s="24"/>
      <c r="AF29" s="24"/>
      <c r="AG29" s="27">
        <f t="shared" si="1"/>
        <v>0.88547203354338411</v>
      </c>
      <c r="AH29" s="24">
        <f t="shared" si="24"/>
        <v>579966322</v>
      </c>
      <c r="AI29" s="24"/>
      <c r="AJ29" s="24"/>
      <c r="AK29" s="24"/>
      <c r="AL29" s="24"/>
      <c r="AM29" s="24"/>
      <c r="AN29" s="24"/>
      <c r="AO29" s="24"/>
      <c r="AP29" s="24">
        <f>+[4]JULIO!$Q$1247</f>
        <v>541326322</v>
      </c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>
        <f>+[8]AGOSTO!$AB$1338</f>
        <v>38640000</v>
      </c>
      <c r="BB29" s="24"/>
      <c r="BC29" s="24"/>
      <c r="BD29" s="24"/>
      <c r="BE29" s="24"/>
      <c r="BF29" s="27">
        <f t="shared" si="12"/>
        <v>0.11452796645661589</v>
      </c>
      <c r="BG29" s="24">
        <f t="shared" si="25"/>
        <v>75013508</v>
      </c>
      <c r="BH29" s="24">
        <f t="shared" si="26"/>
        <v>0</v>
      </c>
      <c r="BI29" s="24">
        <f t="shared" si="26"/>
        <v>0</v>
      </c>
      <c r="BJ29" s="24">
        <f t="shared" si="26"/>
        <v>0</v>
      </c>
      <c r="BK29" s="24">
        <f t="shared" si="26"/>
        <v>0</v>
      </c>
      <c r="BL29" s="24">
        <f t="shared" si="26"/>
        <v>0</v>
      </c>
      <c r="BM29" s="24">
        <f t="shared" si="26"/>
        <v>0</v>
      </c>
      <c r="BN29" s="24">
        <f t="shared" si="26"/>
        <v>0</v>
      </c>
      <c r="BO29" s="24">
        <f t="shared" si="26"/>
        <v>50500000</v>
      </c>
      <c r="BP29" s="24">
        <f t="shared" si="26"/>
        <v>0</v>
      </c>
      <c r="BQ29" s="24">
        <f t="shared" si="26"/>
        <v>0</v>
      </c>
      <c r="BR29" s="24">
        <f t="shared" si="26"/>
        <v>0</v>
      </c>
      <c r="BS29" s="24">
        <f t="shared" si="26"/>
        <v>0</v>
      </c>
      <c r="BT29" s="24">
        <f t="shared" si="26"/>
        <v>0</v>
      </c>
      <c r="BU29" s="24">
        <f t="shared" si="26"/>
        <v>0</v>
      </c>
      <c r="BV29" s="24">
        <f t="shared" si="26"/>
        <v>0</v>
      </c>
      <c r="BW29" s="24">
        <f t="shared" si="26"/>
        <v>0</v>
      </c>
      <c r="BX29" s="24">
        <f t="shared" si="27"/>
        <v>0</v>
      </c>
      <c r="BY29" s="24">
        <f t="shared" si="27"/>
        <v>0</v>
      </c>
      <c r="BZ29" s="24">
        <f t="shared" si="27"/>
        <v>24513508</v>
      </c>
      <c r="CA29" s="24">
        <f t="shared" si="27"/>
        <v>0</v>
      </c>
      <c r="CB29" s="24">
        <f t="shared" si="27"/>
        <v>0</v>
      </c>
      <c r="CC29" s="24">
        <f t="shared" si="27"/>
        <v>0</v>
      </c>
      <c r="CD29" s="24">
        <f t="shared" si="27"/>
        <v>0</v>
      </c>
      <c r="CE29" s="27">
        <f t="shared" si="6"/>
        <v>0.34173059497114588</v>
      </c>
      <c r="CF29" s="24">
        <f t="shared" si="28"/>
        <v>223826647</v>
      </c>
      <c r="CG29" s="24"/>
      <c r="CH29" s="24"/>
      <c r="CI29" s="24"/>
      <c r="CJ29" s="24"/>
      <c r="CK29" s="24"/>
      <c r="CL29" s="24"/>
      <c r="CM29" s="24"/>
      <c r="CN29" s="24">
        <f>+[2]OCTUBRE!$H$1556</f>
        <v>185186654</v>
      </c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>
        <f>+[2]OCTUBRE!$H$1550+[2]OCTUBRE!$H$1660</f>
        <v>38639993</v>
      </c>
      <c r="CZ29" s="24"/>
      <c r="DA29" s="24"/>
      <c r="DB29" s="24"/>
      <c r="DC29" s="24"/>
      <c r="DD29" s="27">
        <f t="shared" si="8"/>
        <v>0.65826940502885412</v>
      </c>
      <c r="DE29" s="24">
        <f t="shared" si="29"/>
        <v>431153183</v>
      </c>
      <c r="DF29" s="24">
        <f t="shared" si="30"/>
        <v>0</v>
      </c>
      <c r="DG29" s="24">
        <f t="shared" si="30"/>
        <v>0</v>
      </c>
      <c r="DH29" s="24">
        <f t="shared" si="30"/>
        <v>0</v>
      </c>
      <c r="DI29" s="24">
        <f t="shared" si="30"/>
        <v>0</v>
      </c>
      <c r="DJ29" s="24">
        <f t="shared" si="30"/>
        <v>0</v>
      </c>
      <c r="DK29" s="24">
        <f t="shared" si="30"/>
        <v>0</v>
      </c>
      <c r="DL29" s="24">
        <f t="shared" si="30"/>
        <v>0</v>
      </c>
      <c r="DM29" s="24">
        <f t="shared" si="30"/>
        <v>406639668</v>
      </c>
      <c r="DN29" s="24">
        <f t="shared" si="30"/>
        <v>0</v>
      </c>
      <c r="DO29" s="24">
        <f t="shared" si="30"/>
        <v>0</v>
      </c>
      <c r="DP29" s="24">
        <f t="shared" si="30"/>
        <v>0</v>
      </c>
      <c r="DQ29" s="24">
        <f t="shared" si="30"/>
        <v>0</v>
      </c>
      <c r="DR29" s="24">
        <f t="shared" si="30"/>
        <v>0</v>
      </c>
      <c r="DS29" s="24">
        <f t="shared" si="30"/>
        <v>0</v>
      </c>
      <c r="DT29" s="24">
        <f t="shared" si="30"/>
        <v>0</v>
      </c>
      <c r="DU29" s="24">
        <f t="shared" si="30"/>
        <v>0</v>
      </c>
      <c r="DV29" s="24">
        <f t="shared" si="31"/>
        <v>0</v>
      </c>
      <c r="DW29" s="24">
        <f t="shared" si="31"/>
        <v>0</v>
      </c>
      <c r="DX29" s="24">
        <f t="shared" si="31"/>
        <v>24513515</v>
      </c>
      <c r="DY29" s="24">
        <f t="shared" si="31"/>
        <v>0</v>
      </c>
      <c r="DZ29" s="24">
        <f t="shared" si="31"/>
        <v>0</v>
      </c>
      <c r="EA29" s="24">
        <f t="shared" si="31"/>
        <v>0</v>
      </c>
      <c r="EB29" s="24">
        <f t="shared" si="31"/>
        <v>0</v>
      </c>
      <c r="ED29" s="150"/>
      <c r="EE29" s="45">
        <f t="shared" si="32"/>
        <v>654979830</v>
      </c>
      <c r="EF29" s="45">
        <f t="shared" si="33"/>
        <v>223826647</v>
      </c>
      <c r="EG29" s="159">
        <f t="shared" si="34"/>
        <v>0.34173059497114588</v>
      </c>
    </row>
    <row r="30" spans="1:137" ht="21" hidden="1" customHeight="1" x14ac:dyDescent="0.25">
      <c r="A30" s="32"/>
      <c r="B30" s="230"/>
      <c r="C30" s="187" t="s">
        <v>115</v>
      </c>
      <c r="D30" s="190" t="s">
        <v>116</v>
      </c>
      <c r="E30" s="33">
        <v>410</v>
      </c>
      <c r="F30" s="188" t="s">
        <v>117</v>
      </c>
      <c r="G30" s="24">
        <f t="shared" si="23"/>
        <v>310157093</v>
      </c>
      <c r="H30" s="25">
        <f>+[7]SI!$F16</f>
        <v>597600000</v>
      </c>
      <c r="I30" s="25">
        <f t="shared" si="35"/>
        <v>287442907</v>
      </c>
      <c r="J30" s="24"/>
      <c r="K30" s="24"/>
      <c r="L30" s="24"/>
      <c r="M30" s="24"/>
      <c r="N30" s="24"/>
      <c r="O30" s="24"/>
      <c r="P30" s="24"/>
      <c r="Q30" s="24">
        <f>517600000+20000000-287442907</f>
        <v>250157093</v>
      </c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>
        <v>60000000</v>
      </c>
      <c r="AC30" s="24"/>
      <c r="AD30" s="24"/>
      <c r="AE30" s="24"/>
      <c r="AF30" s="24"/>
      <c r="AG30" s="27">
        <f t="shared" si="1"/>
        <v>0.90730503783771277</v>
      </c>
      <c r="AH30" s="24">
        <f t="shared" si="24"/>
        <v>281407093</v>
      </c>
      <c r="AI30" s="24"/>
      <c r="AJ30" s="24"/>
      <c r="AK30" s="24"/>
      <c r="AL30" s="24"/>
      <c r="AM30" s="24"/>
      <c r="AN30" s="24"/>
      <c r="AO30" s="24"/>
      <c r="AP30" s="24">
        <f>+[4]JULIO!$Q$1336</f>
        <v>248957093</v>
      </c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>
        <f>+[8]AGOSTO!$AB$1434</f>
        <v>32450000</v>
      </c>
      <c r="BB30" s="24"/>
      <c r="BC30" s="24"/>
      <c r="BD30" s="24"/>
      <c r="BE30" s="24"/>
      <c r="BF30" s="27">
        <f t="shared" si="12"/>
        <v>9.2694962162287231E-2</v>
      </c>
      <c r="BG30" s="24">
        <f t="shared" si="25"/>
        <v>28750000</v>
      </c>
      <c r="BH30" s="24">
        <f t="shared" si="26"/>
        <v>0</v>
      </c>
      <c r="BI30" s="24">
        <f t="shared" si="26"/>
        <v>0</v>
      </c>
      <c r="BJ30" s="24">
        <f t="shared" si="26"/>
        <v>0</v>
      </c>
      <c r="BK30" s="24">
        <f t="shared" si="26"/>
        <v>0</v>
      </c>
      <c r="BL30" s="24">
        <f t="shared" si="26"/>
        <v>0</v>
      </c>
      <c r="BM30" s="24">
        <f t="shared" si="26"/>
        <v>0</v>
      </c>
      <c r="BN30" s="24">
        <f t="shared" si="26"/>
        <v>0</v>
      </c>
      <c r="BO30" s="24">
        <f t="shared" si="26"/>
        <v>1200000</v>
      </c>
      <c r="BP30" s="24">
        <f t="shared" si="26"/>
        <v>0</v>
      </c>
      <c r="BQ30" s="24">
        <f t="shared" si="26"/>
        <v>0</v>
      </c>
      <c r="BR30" s="24">
        <f t="shared" si="26"/>
        <v>0</v>
      </c>
      <c r="BS30" s="24">
        <f t="shared" si="26"/>
        <v>0</v>
      </c>
      <c r="BT30" s="24">
        <f t="shared" si="26"/>
        <v>0</v>
      </c>
      <c r="BU30" s="24">
        <f t="shared" si="26"/>
        <v>0</v>
      </c>
      <c r="BV30" s="24">
        <f t="shared" si="26"/>
        <v>0</v>
      </c>
      <c r="BW30" s="24">
        <f t="shared" si="26"/>
        <v>0</v>
      </c>
      <c r="BX30" s="24">
        <f t="shared" si="27"/>
        <v>0</v>
      </c>
      <c r="BY30" s="24">
        <f t="shared" si="27"/>
        <v>0</v>
      </c>
      <c r="BZ30" s="24">
        <f t="shared" si="27"/>
        <v>27550000</v>
      </c>
      <c r="CA30" s="24">
        <f t="shared" si="27"/>
        <v>0</v>
      </c>
      <c r="CB30" s="24">
        <f t="shared" si="27"/>
        <v>0</v>
      </c>
      <c r="CC30" s="24">
        <f t="shared" si="27"/>
        <v>0</v>
      </c>
      <c r="CD30" s="24">
        <f t="shared" si="27"/>
        <v>0</v>
      </c>
      <c r="CE30" s="27">
        <f t="shared" si="6"/>
        <v>0.38913567583637365</v>
      </c>
      <c r="CF30" s="24">
        <f t="shared" si="28"/>
        <v>120693190</v>
      </c>
      <c r="CG30" s="24"/>
      <c r="CH30" s="24"/>
      <c r="CI30" s="24"/>
      <c r="CJ30" s="24"/>
      <c r="CK30" s="24"/>
      <c r="CL30" s="24"/>
      <c r="CM30" s="24"/>
      <c r="CN30" s="24">
        <f>+[2]OCTUBRE!$H$1666</f>
        <v>88243190</v>
      </c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>
        <f>+[2]OCTUBRE!$H$1708+[2]OCTUBRE!$H$1716</f>
        <v>32450000</v>
      </c>
      <c r="CZ30" s="24"/>
      <c r="DA30" s="24"/>
      <c r="DB30" s="24"/>
      <c r="DC30" s="24"/>
      <c r="DD30" s="27">
        <f t="shared" si="8"/>
        <v>0.61086432416362635</v>
      </c>
      <c r="DE30" s="24">
        <f t="shared" si="29"/>
        <v>189463903</v>
      </c>
      <c r="DF30" s="24">
        <f t="shared" si="30"/>
        <v>0</v>
      </c>
      <c r="DG30" s="24">
        <f t="shared" si="30"/>
        <v>0</v>
      </c>
      <c r="DH30" s="24">
        <f t="shared" si="30"/>
        <v>0</v>
      </c>
      <c r="DI30" s="24">
        <f t="shared" si="30"/>
        <v>0</v>
      </c>
      <c r="DJ30" s="24">
        <f t="shared" si="30"/>
        <v>0</v>
      </c>
      <c r="DK30" s="24">
        <f t="shared" si="30"/>
        <v>0</v>
      </c>
      <c r="DL30" s="24">
        <f t="shared" si="30"/>
        <v>0</v>
      </c>
      <c r="DM30" s="24">
        <f t="shared" si="30"/>
        <v>161913903</v>
      </c>
      <c r="DN30" s="24">
        <f t="shared" si="30"/>
        <v>0</v>
      </c>
      <c r="DO30" s="24">
        <f t="shared" si="30"/>
        <v>0</v>
      </c>
      <c r="DP30" s="24">
        <f t="shared" si="30"/>
        <v>0</v>
      </c>
      <c r="DQ30" s="24">
        <f t="shared" si="30"/>
        <v>0</v>
      </c>
      <c r="DR30" s="24">
        <f t="shared" si="30"/>
        <v>0</v>
      </c>
      <c r="DS30" s="24">
        <f t="shared" si="30"/>
        <v>0</v>
      </c>
      <c r="DT30" s="24">
        <f t="shared" si="30"/>
        <v>0</v>
      </c>
      <c r="DU30" s="24">
        <f t="shared" si="30"/>
        <v>0</v>
      </c>
      <c r="DV30" s="24">
        <f t="shared" si="31"/>
        <v>0</v>
      </c>
      <c r="DW30" s="24">
        <f t="shared" si="31"/>
        <v>0</v>
      </c>
      <c r="DX30" s="24">
        <f t="shared" si="31"/>
        <v>27550000</v>
      </c>
      <c r="DY30" s="24">
        <f t="shared" si="31"/>
        <v>0</v>
      </c>
      <c r="DZ30" s="24">
        <f t="shared" si="31"/>
        <v>0</v>
      </c>
      <c r="EA30" s="24">
        <f t="shared" si="31"/>
        <v>0</v>
      </c>
      <c r="EB30" s="24">
        <f t="shared" si="31"/>
        <v>0</v>
      </c>
      <c r="ED30" s="150"/>
      <c r="EE30" s="45">
        <f t="shared" si="32"/>
        <v>310157093</v>
      </c>
      <c r="EF30" s="45">
        <f t="shared" si="33"/>
        <v>120693190</v>
      </c>
      <c r="EG30" s="159">
        <f t="shared" si="34"/>
        <v>0.38913567583637365</v>
      </c>
    </row>
    <row r="31" spans="1:137" ht="21" hidden="1" customHeight="1" x14ac:dyDescent="0.25">
      <c r="A31" s="32"/>
      <c r="B31" s="230"/>
      <c r="C31" s="187" t="s">
        <v>118</v>
      </c>
      <c r="D31" s="190" t="s">
        <v>119</v>
      </c>
      <c r="E31" s="33">
        <v>410</v>
      </c>
      <c r="F31" s="188" t="s">
        <v>117</v>
      </c>
      <c r="G31" s="24">
        <f t="shared" si="23"/>
        <v>20000000</v>
      </c>
      <c r="H31" s="25">
        <f>+[7]SI!$F17</f>
        <v>500000000</v>
      </c>
      <c r="I31" s="25">
        <f t="shared" si="35"/>
        <v>480000000</v>
      </c>
      <c r="J31" s="24"/>
      <c r="K31" s="24"/>
      <c r="L31" s="24"/>
      <c r="M31" s="24"/>
      <c r="N31" s="24"/>
      <c r="O31" s="24"/>
      <c r="P31" s="24"/>
      <c r="Q31" s="24">
        <f>469045108+10000000-168708555-290336553</f>
        <v>20000000</v>
      </c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>
        <f>20000000-20000000</f>
        <v>0</v>
      </c>
      <c r="AC31" s="24"/>
      <c r="AD31" s="24"/>
      <c r="AE31" s="24"/>
      <c r="AF31" s="24"/>
      <c r="AG31" s="27">
        <f t="shared" si="1"/>
        <v>0</v>
      </c>
      <c r="AH31" s="24">
        <f t="shared" si="24"/>
        <v>0</v>
      </c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7">
        <f t="shared" si="12"/>
        <v>1</v>
      </c>
      <c r="BG31" s="24">
        <f t="shared" si="25"/>
        <v>20000000</v>
      </c>
      <c r="BH31" s="24">
        <f t="shared" si="26"/>
        <v>0</v>
      </c>
      <c r="BI31" s="24">
        <f t="shared" si="26"/>
        <v>0</v>
      </c>
      <c r="BJ31" s="24">
        <f t="shared" si="26"/>
        <v>0</v>
      </c>
      <c r="BK31" s="24">
        <f t="shared" si="26"/>
        <v>0</v>
      </c>
      <c r="BL31" s="24">
        <f t="shared" si="26"/>
        <v>0</v>
      </c>
      <c r="BM31" s="24">
        <f t="shared" si="26"/>
        <v>0</v>
      </c>
      <c r="BN31" s="24">
        <f t="shared" si="26"/>
        <v>0</v>
      </c>
      <c r="BO31" s="24">
        <f t="shared" si="26"/>
        <v>20000000</v>
      </c>
      <c r="BP31" s="24">
        <f t="shared" si="26"/>
        <v>0</v>
      </c>
      <c r="BQ31" s="24">
        <f t="shared" si="26"/>
        <v>0</v>
      </c>
      <c r="BR31" s="24">
        <f t="shared" si="26"/>
        <v>0</v>
      </c>
      <c r="BS31" s="24">
        <f t="shared" si="26"/>
        <v>0</v>
      </c>
      <c r="BT31" s="24">
        <f t="shared" si="26"/>
        <v>0</v>
      </c>
      <c r="BU31" s="24">
        <f t="shared" si="26"/>
        <v>0</v>
      </c>
      <c r="BV31" s="24">
        <f t="shared" si="26"/>
        <v>0</v>
      </c>
      <c r="BW31" s="24">
        <f t="shared" si="26"/>
        <v>0</v>
      </c>
      <c r="BX31" s="24">
        <f t="shared" si="27"/>
        <v>0</v>
      </c>
      <c r="BY31" s="24">
        <f t="shared" si="27"/>
        <v>0</v>
      </c>
      <c r="BZ31" s="24">
        <f t="shared" si="27"/>
        <v>0</v>
      </c>
      <c r="CA31" s="24">
        <f t="shared" si="27"/>
        <v>0</v>
      </c>
      <c r="CB31" s="24">
        <f t="shared" si="27"/>
        <v>0</v>
      </c>
      <c r="CC31" s="24">
        <f t="shared" si="27"/>
        <v>0</v>
      </c>
      <c r="CD31" s="24">
        <f t="shared" si="27"/>
        <v>0</v>
      </c>
      <c r="CE31" s="27">
        <f t="shared" si="6"/>
        <v>0</v>
      </c>
      <c r="CF31" s="24">
        <f t="shared" si="28"/>
        <v>0</v>
      </c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7">
        <f t="shared" si="8"/>
        <v>1</v>
      </c>
      <c r="DE31" s="24">
        <f t="shared" si="29"/>
        <v>20000000</v>
      </c>
      <c r="DF31" s="24">
        <f t="shared" si="30"/>
        <v>0</v>
      </c>
      <c r="DG31" s="24">
        <f t="shared" si="30"/>
        <v>0</v>
      </c>
      <c r="DH31" s="24">
        <f t="shared" si="30"/>
        <v>0</v>
      </c>
      <c r="DI31" s="24">
        <f t="shared" si="30"/>
        <v>0</v>
      </c>
      <c r="DJ31" s="24">
        <f t="shared" si="30"/>
        <v>0</v>
      </c>
      <c r="DK31" s="24">
        <f t="shared" si="30"/>
        <v>0</v>
      </c>
      <c r="DL31" s="24">
        <f t="shared" si="30"/>
        <v>0</v>
      </c>
      <c r="DM31" s="24">
        <f t="shared" si="30"/>
        <v>20000000</v>
      </c>
      <c r="DN31" s="24">
        <f t="shared" si="30"/>
        <v>0</v>
      </c>
      <c r="DO31" s="24">
        <f t="shared" si="30"/>
        <v>0</v>
      </c>
      <c r="DP31" s="24">
        <f t="shared" si="30"/>
        <v>0</v>
      </c>
      <c r="DQ31" s="24">
        <f t="shared" si="30"/>
        <v>0</v>
      </c>
      <c r="DR31" s="24">
        <f t="shared" si="30"/>
        <v>0</v>
      </c>
      <c r="DS31" s="24">
        <f t="shared" si="30"/>
        <v>0</v>
      </c>
      <c r="DT31" s="24">
        <f t="shared" si="30"/>
        <v>0</v>
      </c>
      <c r="DU31" s="24">
        <f t="shared" si="30"/>
        <v>0</v>
      </c>
      <c r="DV31" s="24">
        <f t="shared" si="31"/>
        <v>0</v>
      </c>
      <c r="DW31" s="24">
        <f t="shared" si="31"/>
        <v>0</v>
      </c>
      <c r="DX31" s="24">
        <f t="shared" si="31"/>
        <v>0</v>
      </c>
      <c r="DY31" s="24">
        <f t="shared" si="31"/>
        <v>0</v>
      </c>
      <c r="DZ31" s="24">
        <f t="shared" si="31"/>
        <v>0</v>
      </c>
      <c r="EA31" s="24">
        <f t="shared" si="31"/>
        <v>0</v>
      </c>
      <c r="EB31" s="24">
        <f t="shared" si="31"/>
        <v>0</v>
      </c>
      <c r="ED31" s="150"/>
      <c r="EE31" s="45">
        <f t="shared" si="32"/>
        <v>20000000</v>
      </c>
      <c r="EF31" s="45">
        <f t="shared" si="33"/>
        <v>0</v>
      </c>
      <c r="EG31" s="159">
        <f t="shared" si="34"/>
        <v>0</v>
      </c>
    </row>
    <row r="32" spans="1:137" ht="21" hidden="1" customHeight="1" x14ac:dyDescent="0.25">
      <c r="A32" s="32"/>
      <c r="B32" s="230"/>
      <c r="C32" s="187" t="s">
        <v>120</v>
      </c>
      <c r="D32" s="190" t="s">
        <v>121</v>
      </c>
      <c r="E32" s="33">
        <v>410</v>
      </c>
      <c r="F32" s="188" t="s">
        <v>112</v>
      </c>
      <c r="G32" s="24">
        <f t="shared" si="23"/>
        <v>0</v>
      </c>
      <c r="H32" s="25">
        <f>+[7]SI!$F18</f>
        <v>300000000</v>
      </c>
      <c r="I32" s="25">
        <f t="shared" si="35"/>
        <v>300000000</v>
      </c>
      <c r="J32" s="24"/>
      <c r="K32" s="24"/>
      <c r="L32" s="24"/>
      <c r="M32" s="24"/>
      <c r="N32" s="24"/>
      <c r="O32" s="24"/>
      <c r="P32" s="24"/>
      <c r="Q32" s="24">
        <f>200000000-200000000</f>
        <v>0</v>
      </c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>
        <f>100000000-100000000</f>
        <v>0</v>
      </c>
      <c r="AC32" s="24"/>
      <c r="AD32" s="24"/>
      <c r="AE32" s="24"/>
      <c r="AF32" s="24"/>
      <c r="AG32" s="27" t="e">
        <f t="shared" si="1"/>
        <v>#DIV/0!</v>
      </c>
      <c r="AH32" s="24">
        <f t="shared" si="24"/>
        <v>0</v>
      </c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7" t="e">
        <f t="shared" si="12"/>
        <v>#DIV/0!</v>
      </c>
      <c r="BG32" s="24">
        <f t="shared" si="25"/>
        <v>0</v>
      </c>
      <c r="BH32" s="24">
        <f t="shared" si="26"/>
        <v>0</v>
      </c>
      <c r="BI32" s="24">
        <f t="shared" si="26"/>
        <v>0</v>
      </c>
      <c r="BJ32" s="24">
        <f t="shared" si="26"/>
        <v>0</v>
      </c>
      <c r="BK32" s="24">
        <f t="shared" si="26"/>
        <v>0</v>
      </c>
      <c r="BL32" s="24">
        <f t="shared" si="26"/>
        <v>0</v>
      </c>
      <c r="BM32" s="24">
        <f t="shared" si="26"/>
        <v>0</v>
      </c>
      <c r="BN32" s="24">
        <f t="shared" si="26"/>
        <v>0</v>
      </c>
      <c r="BO32" s="24">
        <f t="shared" si="26"/>
        <v>0</v>
      </c>
      <c r="BP32" s="24">
        <f t="shared" si="26"/>
        <v>0</v>
      </c>
      <c r="BQ32" s="24">
        <f t="shared" si="26"/>
        <v>0</v>
      </c>
      <c r="BR32" s="24">
        <f t="shared" si="26"/>
        <v>0</v>
      </c>
      <c r="BS32" s="24">
        <f t="shared" si="26"/>
        <v>0</v>
      </c>
      <c r="BT32" s="24">
        <f t="shared" si="26"/>
        <v>0</v>
      </c>
      <c r="BU32" s="24">
        <f t="shared" si="26"/>
        <v>0</v>
      </c>
      <c r="BV32" s="24">
        <f t="shared" si="26"/>
        <v>0</v>
      </c>
      <c r="BW32" s="24">
        <f t="shared" si="26"/>
        <v>0</v>
      </c>
      <c r="BX32" s="24">
        <f t="shared" si="27"/>
        <v>0</v>
      </c>
      <c r="BY32" s="24">
        <f t="shared" si="27"/>
        <v>0</v>
      </c>
      <c r="BZ32" s="24">
        <f t="shared" si="27"/>
        <v>0</v>
      </c>
      <c r="CA32" s="24">
        <f t="shared" si="27"/>
        <v>0</v>
      </c>
      <c r="CB32" s="24">
        <f t="shared" si="27"/>
        <v>0</v>
      </c>
      <c r="CC32" s="24">
        <f t="shared" si="27"/>
        <v>0</v>
      </c>
      <c r="CD32" s="24">
        <f t="shared" si="27"/>
        <v>0</v>
      </c>
      <c r="CE32" s="27" t="e">
        <f t="shared" si="6"/>
        <v>#DIV/0!</v>
      </c>
      <c r="CF32" s="24">
        <f t="shared" si="28"/>
        <v>0</v>
      </c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7" t="e">
        <f t="shared" si="8"/>
        <v>#DIV/0!</v>
      </c>
      <c r="DE32" s="24">
        <f t="shared" si="29"/>
        <v>0</v>
      </c>
      <c r="DF32" s="24">
        <f t="shared" si="30"/>
        <v>0</v>
      </c>
      <c r="DG32" s="24">
        <f t="shared" si="30"/>
        <v>0</v>
      </c>
      <c r="DH32" s="24">
        <f t="shared" si="30"/>
        <v>0</v>
      </c>
      <c r="DI32" s="24">
        <f t="shared" si="30"/>
        <v>0</v>
      </c>
      <c r="DJ32" s="24">
        <f t="shared" si="30"/>
        <v>0</v>
      </c>
      <c r="DK32" s="24">
        <f t="shared" si="30"/>
        <v>0</v>
      </c>
      <c r="DL32" s="24">
        <f t="shared" si="30"/>
        <v>0</v>
      </c>
      <c r="DM32" s="24">
        <f t="shared" si="30"/>
        <v>0</v>
      </c>
      <c r="DN32" s="24">
        <f t="shared" si="30"/>
        <v>0</v>
      </c>
      <c r="DO32" s="24">
        <f t="shared" si="30"/>
        <v>0</v>
      </c>
      <c r="DP32" s="24">
        <f t="shared" si="30"/>
        <v>0</v>
      </c>
      <c r="DQ32" s="24">
        <f t="shared" si="30"/>
        <v>0</v>
      </c>
      <c r="DR32" s="24">
        <f t="shared" si="30"/>
        <v>0</v>
      </c>
      <c r="DS32" s="24">
        <f t="shared" si="30"/>
        <v>0</v>
      </c>
      <c r="DT32" s="24">
        <f t="shared" si="30"/>
        <v>0</v>
      </c>
      <c r="DU32" s="24">
        <f t="shared" si="30"/>
        <v>0</v>
      </c>
      <c r="DV32" s="24">
        <f t="shared" si="31"/>
        <v>0</v>
      </c>
      <c r="DW32" s="24">
        <f t="shared" si="31"/>
        <v>0</v>
      </c>
      <c r="DX32" s="24">
        <f t="shared" si="31"/>
        <v>0</v>
      </c>
      <c r="DY32" s="24">
        <f t="shared" si="31"/>
        <v>0</v>
      </c>
      <c r="DZ32" s="24">
        <f t="shared" si="31"/>
        <v>0</v>
      </c>
      <c r="EA32" s="24">
        <f t="shared" si="31"/>
        <v>0</v>
      </c>
      <c r="EB32" s="24">
        <f t="shared" si="31"/>
        <v>0</v>
      </c>
      <c r="ED32" s="150"/>
      <c r="EE32" s="45">
        <f t="shared" si="32"/>
        <v>0</v>
      </c>
      <c r="EF32" s="45">
        <f t="shared" si="33"/>
        <v>0</v>
      </c>
      <c r="EG32" s="159" t="e">
        <f t="shared" si="34"/>
        <v>#DIV/0!</v>
      </c>
    </row>
    <row r="33" spans="1:137" ht="42.75" hidden="1" customHeight="1" x14ac:dyDescent="0.25">
      <c r="A33" s="32"/>
      <c r="B33" s="230"/>
      <c r="C33" s="187" t="s">
        <v>122</v>
      </c>
      <c r="D33" s="190" t="s">
        <v>123</v>
      </c>
      <c r="E33" s="33">
        <v>410</v>
      </c>
      <c r="F33" s="188" t="s">
        <v>124</v>
      </c>
      <c r="G33" s="24">
        <f t="shared" si="23"/>
        <v>332960000</v>
      </c>
      <c r="H33" s="25">
        <f>+[7]SI!$F19</f>
        <v>327960000</v>
      </c>
      <c r="I33" s="25">
        <f>+H33-G33</f>
        <v>-5000000</v>
      </c>
      <c r="J33" s="24"/>
      <c r="K33" s="24"/>
      <c r="L33" s="24"/>
      <c r="M33" s="24"/>
      <c r="N33" s="24"/>
      <c r="O33" s="24"/>
      <c r="P33" s="24"/>
      <c r="Q33" s="24">
        <v>317960000</v>
      </c>
      <c r="R33" s="24"/>
      <c r="S33" s="24"/>
      <c r="T33" s="24"/>
      <c r="U33" s="24"/>
      <c r="V33" s="24"/>
      <c r="W33" s="24"/>
      <c r="X33" s="24"/>
      <c r="Y33" s="24"/>
      <c r="Z33" s="24"/>
      <c r="AA33" s="24"/>
      <c r="AB33" s="24">
        <v>5000000</v>
      </c>
      <c r="AC33" s="24"/>
      <c r="AD33" s="24"/>
      <c r="AE33" s="24"/>
      <c r="AF33" s="24">
        <f>5000000+5000000</f>
        <v>10000000</v>
      </c>
      <c r="AG33" s="27">
        <f t="shared" si="1"/>
        <v>0.9849831811629024</v>
      </c>
      <c r="AH33" s="24">
        <f t="shared" si="24"/>
        <v>327960000</v>
      </c>
      <c r="AI33" s="24"/>
      <c r="AJ33" s="24"/>
      <c r="AK33" s="24"/>
      <c r="AL33" s="24"/>
      <c r="AM33" s="24"/>
      <c r="AN33" s="24"/>
      <c r="AO33" s="24"/>
      <c r="AP33" s="24">
        <f>+'[5]FEBRERO 2020'!$Q$1456</f>
        <v>317960000</v>
      </c>
      <c r="AQ33" s="24"/>
      <c r="AR33" s="24"/>
      <c r="AS33" s="24"/>
      <c r="AT33" s="24"/>
      <c r="AU33" s="24"/>
      <c r="AV33" s="24"/>
      <c r="AW33" s="24"/>
      <c r="AX33" s="24"/>
      <c r="AY33" s="24"/>
      <c r="AZ33" s="24"/>
      <c r="BA33" s="24">
        <f>+'[9]ENERO 2020'!$AB$1305</f>
        <v>5000000</v>
      </c>
      <c r="BB33" s="24"/>
      <c r="BC33" s="24"/>
      <c r="BD33" s="24"/>
      <c r="BE33" s="24">
        <f>+[4]JULIO!$AG$1398</f>
        <v>5000000</v>
      </c>
      <c r="BF33" s="27">
        <f t="shared" si="12"/>
        <v>1.5016818837097601E-2</v>
      </c>
      <c r="BG33" s="24">
        <f t="shared" si="25"/>
        <v>5000000</v>
      </c>
      <c r="BH33" s="24">
        <f t="shared" si="26"/>
        <v>0</v>
      </c>
      <c r="BI33" s="24">
        <f t="shared" si="26"/>
        <v>0</v>
      </c>
      <c r="BJ33" s="24">
        <f t="shared" si="26"/>
        <v>0</v>
      </c>
      <c r="BK33" s="24">
        <f t="shared" si="26"/>
        <v>0</v>
      </c>
      <c r="BL33" s="24">
        <f t="shared" si="26"/>
        <v>0</v>
      </c>
      <c r="BM33" s="24">
        <f t="shared" si="26"/>
        <v>0</v>
      </c>
      <c r="BN33" s="24">
        <f t="shared" si="26"/>
        <v>0</v>
      </c>
      <c r="BO33" s="24">
        <f t="shared" si="26"/>
        <v>0</v>
      </c>
      <c r="BP33" s="24">
        <f t="shared" si="26"/>
        <v>0</v>
      </c>
      <c r="BQ33" s="24">
        <f t="shared" si="26"/>
        <v>0</v>
      </c>
      <c r="BR33" s="24">
        <f t="shared" si="26"/>
        <v>0</v>
      </c>
      <c r="BS33" s="24">
        <f t="shared" si="26"/>
        <v>0</v>
      </c>
      <c r="BT33" s="24">
        <f t="shared" si="26"/>
        <v>0</v>
      </c>
      <c r="BU33" s="24">
        <f t="shared" si="26"/>
        <v>0</v>
      </c>
      <c r="BV33" s="24">
        <f t="shared" si="26"/>
        <v>0</v>
      </c>
      <c r="BW33" s="24">
        <f t="shared" si="26"/>
        <v>0</v>
      </c>
      <c r="BX33" s="24">
        <f t="shared" si="27"/>
        <v>0</v>
      </c>
      <c r="BY33" s="24">
        <f t="shared" si="27"/>
        <v>0</v>
      </c>
      <c r="BZ33" s="24">
        <f t="shared" si="27"/>
        <v>0</v>
      </c>
      <c r="CA33" s="24">
        <f t="shared" si="27"/>
        <v>0</v>
      </c>
      <c r="CB33" s="24">
        <f t="shared" si="27"/>
        <v>0</v>
      </c>
      <c r="CC33" s="24">
        <f t="shared" si="27"/>
        <v>0</v>
      </c>
      <c r="CD33" s="24">
        <f t="shared" si="27"/>
        <v>5000000</v>
      </c>
      <c r="CE33" s="27">
        <f t="shared" si="6"/>
        <v>0.58612427919269583</v>
      </c>
      <c r="CF33" s="24">
        <f t="shared" si="28"/>
        <v>195155940</v>
      </c>
      <c r="CG33" s="24"/>
      <c r="CH33" s="24"/>
      <c r="CI33" s="24"/>
      <c r="CJ33" s="24"/>
      <c r="CK33" s="24"/>
      <c r="CL33" s="24"/>
      <c r="CM33" s="24"/>
      <c r="CN33" s="24">
        <f>+[2]OCTUBRE!$H$1749+[2]OCTUBRE!$H$1766+[2]OCTUBRE!$H$1771</f>
        <v>190155940</v>
      </c>
      <c r="CO33" s="24"/>
      <c r="CP33" s="24"/>
      <c r="CQ33" s="24"/>
      <c r="CR33" s="24"/>
      <c r="CS33" s="24"/>
      <c r="CT33" s="24"/>
      <c r="CU33" s="24"/>
      <c r="CV33" s="24"/>
      <c r="CW33" s="24"/>
      <c r="CX33" s="24"/>
      <c r="CY33" s="24"/>
      <c r="CZ33" s="24"/>
      <c r="DA33" s="24"/>
      <c r="DB33" s="24"/>
      <c r="DC33" s="24">
        <f>+[4]JULIO!$H$1438</f>
        <v>5000000</v>
      </c>
      <c r="DD33" s="27">
        <f t="shared" si="8"/>
        <v>0.41387572080730417</v>
      </c>
      <c r="DE33" s="24">
        <f t="shared" si="29"/>
        <v>137804060</v>
      </c>
      <c r="DF33" s="24">
        <f t="shared" si="30"/>
        <v>0</v>
      </c>
      <c r="DG33" s="24">
        <f t="shared" si="30"/>
        <v>0</v>
      </c>
      <c r="DH33" s="24">
        <f t="shared" si="30"/>
        <v>0</v>
      </c>
      <c r="DI33" s="24">
        <f t="shared" si="30"/>
        <v>0</v>
      </c>
      <c r="DJ33" s="24">
        <f t="shared" si="30"/>
        <v>0</v>
      </c>
      <c r="DK33" s="24">
        <f t="shared" si="30"/>
        <v>0</v>
      </c>
      <c r="DL33" s="24">
        <f t="shared" si="30"/>
        <v>0</v>
      </c>
      <c r="DM33" s="24">
        <f t="shared" si="30"/>
        <v>127804060</v>
      </c>
      <c r="DN33" s="24">
        <f t="shared" si="30"/>
        <v>0</v>
      </c>
      <c r="DO33" s="24">
        <f t="shared" si="30"/>
        <v>0</v>
      </c>
      <c r="DP33" s="24">
        <f t="shared" si="30"/>
        <v>0</v>
      </c>
      <c r="DQ33" s="24">
        <f t="shared" si="30"/>
        <v>0</v>
      </c>
      <c r="DR33" s="24">
        <f t="shared" si="30"/>
        <v>0</v>
      </c>
      <c r="DS33" s="24">
        <f t="shared" si="30"/>
        <v>0</v>
      </c>
      <c r="DT33" s="24">
        <f t="shared" si="30"/>
        <v>0</v>
      </c>
      <c r="DU33" s="24">
        <f t="shared" si="30"/>
        <v>0</v>
      </c>
      <c r="DV33" s="24">
        <f t="shared" si="31"/>
        <v>0</v>
      </c>
      <c r="DW33" s="24">
        <f t="shared" si="31"/>
        <v>0</v>
      </c>
      <c r="DX33" s="24">
        <f t="shared" si="31"/>
        <v>5000000</v>
      </c>
      <c r="DY33" s="24">
        <f t="shared" si="31"/>
        <v>0</v>
      </c>
      <c r="DZ33" s="24">
        <f t="shared" si="31"/>
        <v>0</v>
      </c>
      <c r="EA33" s="24">
        <f t="shared" si="31"/>
        <v>0</v>
      </c>
      <c r="EB33" s="24">
        <f t="shared" si="31"/>
        <v>5000000</v>
      </c>
      <c r="ED33" s="150"/>
      <c r="EE33" s="45">
        <f t="shared" si="32"/>
        <v>332960000</v>
      </c>
      <c r="EF33" s="45">
        <f t="shared" si="33"/>
        <v>195155940</v>
      </c>
      <c r="EG33" s="159">
        <f t="shared" si="34"/>
        <v>0.58612427919269583</v>
      </c>
    </row>
    <row r="34" spans="1:137" ht="52.9" hidden="1" customHeight="1" x14ac:dyDescent="0.25">
      <c r="A34" s="208" t="s">
        <v>99</v>
      </c>
      <c r="B34" s="228" t="s">
        <v>125</v>
      </c>
      <c r="C34" s="191" t="s">
        <v>126</v>
      </c>
      <c r="D34" s="190" t="s">
        <v>127</v>
      </c>
      <c r="E34" s="190">
        <v>410</v>
      </c>
      <c r="F34" s="188" t="s">
        <v>128</v>
      </c>
      <c r="G34" s="24">
        <f t="shared" si="23"/>
        <v>90341160</v>
      </c>
      <c r="H34" s="25">
        <f>+[7]SI!$F25</f>
        <v>168000000</v>
      </c>
      <c r="I34" s="25">
        <f t="shared" si="35"/>
        <v>77658840</v>
      </c>
      <c r="J34" s="24"/>
      <c r="K34" s="24"/>
      <c r="L34" s="24"/>
      <c r="M34" s="24"/>
      <c r="N34" s="24"/>
      <c r="O34" s="24"/>
      <c r="P34" s="24"/>
      <c r="Q34" s="24">
        <f>11878679-1878679</f>
        <v>10000000</v>
      </c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>
        <f>50000000-28658840</f>
        <v>21341160</v>
      </c>
      <c r="AC34" s="24"/>
      <c r="AD34" s="24"/>
      <c r="AE34" s="24"/>
      <c r="AF34" s="24">
        <f>24000000+5000000+30000000</f>
        <v>59000000</v>
      </c>
      <c r="AG34" s="27">
        <f t="shared" si="1"/>
        <v>0.45429082380611452</v>
      </c>
      <c r="AH34" s="24">
        <f t="shared" si="24"/>
        <v>41041160</v>
      </c>
      <c r="AI34" s="24"/>
      <c r="AJ34" s="24"/>
      <c r="AK34" s="24"/>
      <c r="AL34" s="24"/>
      <c r="AM34" s="24"/>
      <c r="AN34" s="24"/>
      <c r="AO34" s="24"/>
      <c r="AP34" s="24">
        <f>+[4]JULIO!$Q$1447</f>
        <v>10000000</v>
      </c>
      <c r="AQ34" s="24"/>
      <c r="AR34" s="24"/>
      <c r="AS34" s="24"/>
      <c r="AT34" s="24"/>
      <c r="AU34" s="24"/>
      <c r="AV34" s="24"/>
      <c r="AW34" s="24"/>
      <c r="AX34" s="24"/>
      <c r="AY34" s="24"/>
      <c r="AZ34" s="24"/>
      <c r="BA34" s="24">
        <f>+[4]JULIO!$AB$1447</f>
        <v>21341160</v>
      </c>
      <c r="BB34" s="24"/>
      <c r="BC34" s="24"/>
      <c r="BD34" s="24"/>
      <c r="BE34" s="24">
        <f>+[2]OCTUBRE!$AG$1794</f>
        <v>9700000</v>
      </c>
      <c r="BF34" s="27">
        <f t="shared" si="12"/>
        <v>0.54570917619388548</v>
      </c>
      <c r="BG34" s="24">
        <f t="shared" si="25"/>
        <v>49300000</v>
      </c>
      <c r="BH34" s="24">
        <f t="shared" si="26"/>
        <v>0</v>
      </c>
      <c r="BI34" s="24">
        <f t="shared" si="26"/>
        <v>0</v>
      </c>
      <c r="BJ34" s="24">
        <f t="shared" si="26"/>
        <v>0</v>
      </c>
      <c r="BK34" s="24">
        <f t="shared" si="26"/>
        <v>0</v>
      </c>
      <c r="BL34" s="24">
        <f t="shared" si="26"/>
        <v>0</v>
      </c>
      <c r="BM34" s="24">
        <f t="shared" si="26"/>
        <v>0</v>
      </c>
      <c r="BN34" s="24">
        <f t="shared" si="26"/>
        <v>0</v>
      </c>
      <c r="BO34" s="24">
        <f t="shared" si="26"/>
        <v>0</v>
      </c>
      <c r="BP34" s="24">
        <f t="shared" si="26"/>
        <v>0</v>
      </c>
      <c r="BQ34" s="24">
        <f t="shared" si="26"/>
        <v>0</v>
      </c>
      <c r="BR34" s="24">
        <f t="shared" si="26"/>
        <v>0</v>
      </c>
      <c r="BS34" s="24">
        <f t="shared" si="26"/>
        <v>0</v>
      </c>
      <c r="BT34" s="24">
        <f t="shared" si="26"/>
        <v>0</v>
      </c>
      <c r="BU34" s="24">
        <f t="shared" si="26"/>
        <v>0</v>
      </c>
      <c r="BV34" s="24">
        <f t="shared" si="26"/>
        <v>0</v>
      </c>
      <c r="BW34" s="24">
        <f t="shared" si="26"/>
        <v>0</v>
      </c>
      <c r="BX34" s="24">
        <f t="shared" si="27"/>
        <v>0</v>
      </c>
      <c r="BY34" s="24">
        <f t="shared" si="27"/>
        <v>0</v>
      </c>
      <c r="BZ34" s="24">
        <f t="shared" si="27"/>
        <v>0</v>
      </c>
      <c r="CA34" s="24">
        <f t="shared" si="27"/>
        <v>0</v>
      </c>
      <c r="CB34" s="24">
        <f t="shared" si="27"/>
        <v>0</v>
      </c>
      <c r="CC34" s="24">
        <f t="shared" si="27"/>
        <v>0</v>
      </c>
      <c r="CD34" s="24">
        <f t="shared" si="27"/>
        <v>49300000</v>
      </c>
      <c r="CE34" s="27">
        <f t="shared" si="6"/>
        <v>8.5023924864369688E-2</v>
      </c>
      <c r="CF34" s="24">
        <f t="shared" si="28"/>
        <v>7681160</v>
      </c>
      <c r="CG34" s="24"/>
      <c r="CH34" s="24"/>
      <c r="CI34" s="24"/>
      <c r="CJ34" s="24"/>
      <c r="CK34" s="24"/>
      <c r="CL34" s="24"/>
      <c r="CM34" s="24"/>
      <c r="CN34" s="24">
        <f>+[2]OCTUBRE!$H$1799</f>
        <v>840000</v>
      </c>
      <c r="CO34" s="24"/>
      <c r="CP34" s="24"/>
      <c r="CQ34" s="24"/>
      <c r="CR34" s="24"/>
      <c r="CS34" s="24"/>
      <c r="CT34" s="24"/>
      <c r="CU34" s="24"/>
      <c r="CV34" s="24"/>
      <c r="CW34" s="24"/>
      <c r="CX34" s="24"/>
      <c r="CY34" s="24">
        <f>+[2]OCTUBRE!$H$1802</f>
        <v>4341160</v>
      </c>
      <c r="CZ34" s="24"/>
      <c r="DA34" s="24"/>
      <c r="DB34" s="24"/>
      <c r="DC34" s="24">
        <f>+[2]OCTUBRE!$H$1816</f>
        <v>2500000</v>
      </c>
      <c r="DD34" s="27">
        <f t="shared" si="8"/>
        <v>0.91497607513563028</v>
      </c>
      <c r="DE34" s="24">
        <f t="shared" si="29"/>
        <v>82660000</v>
      </c>
      <c r="DF34" s="24">
        <f t="shared" si="30"/>
        <v>0</v>
      </c>
      <c r="DG34" s="24">
        <f t="shared" si="30"/>
        <v>0</v>
      </c>
      <c r="DH34" s="24">
        <f t="shared" si="30"/>
        <v>0</v>
      </c>
      <c r="DI34" s="24">
        <f t="shared" si="30"/>
        <v>0</v>
      </c>
      <c r="DJ34" s="24">
        <f t="shared" si="30"/>
        <v>0</v>
      </c>
      <c r="DK34" s="24">
        <f t="shared" si="30"/>
        <v>0</v>
      </c>
      <c r="DL34" s="24">
        <f t="shared" si="30"/>
        <v>0</v>
      </c>
      <c r="DM34" s="24">
        <f t="shared" si="30"/>
        <v>9160000</v>
      </c>
      <c r="DN34" s="24">
        <f t="shared" si="30"/>
        <v>0</v>
      </c>
      <c r="DO34" s="24">
        <f t="shared" si="30"/>
        <v>0</v>
      </c>
      <c r="DP34" s="24">
        <f t="shared" si="30"/>
        <v>0</v>
      </c>
      <c r="DQ34" s="24">
        <f t="shared" si="30"/>
        <v>0</v>
      </c>
      <c r="DR34" s="24">
        <f t="shared" si="30"/>
        <v>0</v>
      </c>
      <c r="DS34" s="24">
        <f t="shared" si="30"/>
        <v>0</v>
      </c>
      <c r="DT34" s="24">
        <f t="shared" si="30"/>
        <v>0</v>
      </c>
      <c r="DU34" s="24">
        <f t="shared" si="30"/>
        <v>0</v>
      </c>
      <c r="DV34" s="24">
        <f t="shared" si="31"/>
        <v>0</v>
      </c>
      <c r="DW34" s="24">
        <f t="shared" si="31"/>
        <v>0</v>
      </c>
      <c r="DX34" s="24">
        <f t="shared" si="31"/>
        <v>17000000</v>
      </c>
      <c r="DY34" s="24">
        <f t="shared" si="31"/>
        <v>0</v>
      </c>
      <c r="DZ34" s="24">
        <f t="shared" si="31"/>
        <v>0</v>
      </c>
      <c r="EA34" s="24">
        <f t="shared" si="31"/>
        <v>0</v>
      </c>
      <c r="EB34" s="24">
        <f t="shared" si="31"/>
        <v>56500000</v>
      </c>
      <c r="ED34" s="150"/>
      <c r="EE34" s="45">
        <f t="shared" si="32"/>
        <v>90341160</v>
      </c>
      <c r="EF34" s="45">
        <f t="shared" si="33"/>
        <v>7681160</v>
      </c>
      <c r="EG34" s="159">
        <f t="shared" si="34"/>
        <v>8.5023924864369688E-2</v>
      </c>
    </row>
    <row r="35" spans="1:137" ht="73.900000000000006" hidden="1" customHeight="1" x14ac:dyDescent="0.25">
      <c r="A35" s="208"/>
      <c r="B35" s="231"/>
      <c r="C35" s="191" t="s">
        <v>129</v>
      </c>
      <c r="D35" s="190" t="s">
        <v>130</v>
      </c>
      <c r="E35" s="190">
        <v>410</v>
      </c>
      <c r="F35" s="188" t="s">
        <v>131</v>
      </c>
      <c r="G35" s="24">
        <f t="shared" si="23"/>
        <v>58321321</v>
      </c>
      <c r="H35" s="25">
        <f>+[7]SI!$F26</f>
        <v>212500000</v>
      </c>
      <c r="I35" s="25">
        <f t="shared" si="35"/>
        <v>154178679</v>
      </c>
      <c r="J35" s="24"/>
      <c r="K35" s="24"/>
      <c r="L35" s="24"/>
      <c r="M35" s="24"/>
      <c r="N35" s="24"/>
      <c r="O35" s="24"/>
      <c r="P35" s="24"/>
      <c r="Q35" s="24">
        <f>18121321-10000000+30000000-22121321</f>
        <v>16000000</v>
      </c>
      <c r="R35" s="24"/>
      <c r="S35" s="24"/>
      <c r="T35" s="24"/>
      <c r="U35" s="24"/>
      <c r="V35" s="24"/>
      <c r="W35" s="24"/>
      <c r="X35" s="24"/>
      <c r="Y35" s="24"/>
      <c r="Z35" s="24"/>
      <c r="AA35" s="24"/>
      <c r="AB35" s="24">
        <f>20000000-20000000</f>
        <v>0</v>
      </c>
      <c r="AC35" s="24"/>
      <c r="AD35" s="24"/>
      <c r="AE35" s="24"/>
      <c r="AF35" s="26">
        <f>54121321+5000000+7000000-10600000-5000000-8200000</f>
        <v>42321321</v>
      </c>
      <c r="AG35" s="27">
        <f t="shared" si="1"/>
        <v>0.41494259020641866</v>
      </c>
      <c r="AH35" s="24">
        <f t="shared" si="24"/>
        <v>24200000</v>
      </c>
      <c r="AI35" s="24"/>
      <c r="AJ35" s="24"/>
      <c r="AK35" s="24"/>
      <c r="AL35" s="24"/>
      <c r="AM35" s="24"/>
      <c r="AN35" s="24"/>
      <c r="AO35" s="24"/>
      <c r="AP35" s="24">
        <f>+[4]JULIO!$Q$1488</f>
        <v>16000000</v>
      </c>
      <c r="AQ35" s="24"/>
      <c r="AR35" s="24"/>
      <c r="AS35" s="24"/>
      <c r="AT35" s="24"/>
      <c r="AU35" s="24"/>
      <c r="AV35" s="24"/>
      <c r="AW35" s="24"/>
      <c r="AX35" s="24"/>
      <c r="AY35" s="24"/>
      <c r="AZ35" s="24"/>
      <c r="BA35" s="24"/>
      <c r="BB35" s="24"/>
      <c r="BC35" s="24"/>
      <c r="BD35" s="24"/>
      <c r="BE35" s="24">
        <f>+[2]OCTUBRE!$AG$1836</f>
        <v>8200000</v>
      </c>
      <c r="BF35" s="27">
        <f t="shared" si="12"/>
        <v>0.58505740979358134</v>
      </c>
      <c r="BG35" s="24">
        <f t="shared" si="25"/>
        <v>34121321</v>
      </c>
      <c r="BH35" s="24">
        <f t="shared" si="26"/>
        <v>0</v>
      </c>
      <c r="BI35" s="24">
        <f t="shared" si="26"/>
        <v>0</v>
      </c>
      <c r="BJ35" s="24">
        <f t="shared" si="26"/>
        <v>0</v>
      </c>
      <c r="BK35" s="24">
        <f t="shared" si="26"/>
        <v>0</v>
      </c>
      <c r="BL35" s="24">
        <f t="shared" si="26"/>
        <v>0</v>
      </c>
      <c r="BM35" s="24">
        <f t="shared" si="26"/>
        <v>0</v>
      </c>
      <c r="BN35" s="24">
        <f t="shared" si="26"/>
        <v>0</v>
      </c>
      <c r="BO35" s="24">
        <f t="shared" si="26"/>
        <v>0</v>
      </c>
      <c r="BP35" s="24">
        <f t="shared" si="26"/>
        <v>0</v>
      </c>
      <c r="BQ35" s="24">
        <f t="shared" si="26"/>
        <v>0</v>
      </c>
      <c r="BR35" s="24">
        <f t="shared" si="26"/>
        <v>0</v>
      </c>
      <c r="BS35" s="24">
        <f t="shared" si="26"/>
        <v>0</v>
      </c>
      <c r="BT35" s="24">
        <f t="shared" si="26"/>
        <v>0</v>
      </c>
      <c r="BU35" s="24">
        <f t="shared" si="26"/>
        <v>0</v>
      </c>
      <c r="BV35" s="24">
        <f t="shared" si="26"/>
        <v>0</v>
      </c>
      <c r="BW35" s="24">
        <f t="shared" si="26"/>
        <v>0</v>
      </c>
      <c r="BX35" s="24">
        <f t="shared" si="27"/>
        <v>0</v>
      </c>
      <c r="BY35" s="24">
        <f t="shared" si="27"/>
        <v>0</v>
      </c>
      <c r="BZ35" s="24">
        <f t="shared" si="27"/>
        <v>0</v>
      </c>
      <c r="CA35" s="24">
        <f t="shared" si="27"/>
        <v>0</v>
      </c>
      <c r="CB35" s="24">
        <f t="shared" si="27"/>
        <v>0</v>
      </c>
      <c r="CC35" s="24">
        <f t="shared" si="27"/>
        <v>0</v>
      </c>
      <c r="CD35" s="24">
        <f t="shared" si="27"/>
        <v>34121321</v>
      </c>
      <c r="CE35" s="27">
        <f t="shared" si="6"/>
        <v>0.17146388025058623</v>
      </c>
      <c r="CF35" s="24">
        <f t="shared" si="28"/>
        <v>10000000</v>
      </c>
      <c r="CG35" s="24"/>
      <c r="CH35" s="24"/>
      <c r="CI35" s="24"/>
      <c r="CJ35" s="24"/>
      <c r="CK35" s="24"/>
      <c r="CL35" s="24"/>
      <c r="CM35" s="24"/>
      <c r="CN35" s="24">
        <f>+[3]SEPTIEMBRE!$H$1727+[3]SEPTIEMBRE!$H$1742</f>
        <v>7800000</v>
      </c>
      <c r="CO35" s="24"/>
      <c r="CP35" s="24"/>
      <c r="CQ35" s="24"/>
      <c r="CR35" s="24"/>
      <c r="CS35" s="24"/>
      <c r="CT35" s="24"/>
      <c r="CU35" s="24"/>
      <c r="CV35" s="24"/>
      <c r="CW35" s="24"/>
      <c r="CX35" s="24"/>
      <c r="CY35" s="24"/>
      <c r="CZ35" s="24"/>
      <c r="DA35" s="24"/>
      <c r="DB35" s="24"/>
      <c r="DC35" s="24">
        <f>+[3]SEPTIEMBRE!$H$1722</f>
        <v>2200000</v>
      </c>
      <c r="DD35" s="27">
        <f t="shared" si="8"/>
        <v>0.82853611974941377</v>
      </c>
      <c r="DE35" s="24">
        <f t="shared" si="29"/>
        <v>48321321</v>
      </c>
      <c r="DF35" s="24">
        <f t="shared" si="30"/>
        <v>0</v>
      </c>
      <c r="DG35" s="24">
        <f t="shared" si="30"/>
        <v>0</v>
      </c>
      <c r="DH35" s="24">
        <f t="shared" si="30"/>
        <v>0</v>
      </c>
      <c r="DI35" s="24">
        <f t="shared" si="30"/>
        <v>0</v>
      </c>
      <c r="DJ35" s="24">
        <f t="shared" si="30"/>
        <v>0</v>
      </c>
      <c r="DK35" s="24">
        <f t="shared" si="30"/>
        <v>0</v>
      </c>
      <c r="DL35" s="24">
        <f t="shared" si="30"/>
        <v>0</v>
      </c>
      <c r="DM35" s="24">
        <f t="shared" si="30"/>
        <v>8200000</v>
      </c>
      <c r="DN35" s="24">
        <f t="shared" si="30"/>
        <v>0</v>
      </c>
      <c r="DO35" s="24">
        <f t="shared" si="30"/>
        <v>0</v>
      </c>
      <c r="DP35" s="24">
        <f t="shared" si="30"/>
        <v>0</v>
      </c>
      <c r="DQ35" s="24">
        <f t="shared" si="30"/>
        <v>0</v>
      </c>
      <c r="DR35" s="24">
        <f t="shared" si="30"/>
        <v>0</v>
      </c>
      <c r="DS35" s="24">
        <f t="shared" si="30"/>
        <v>0</v>
      </c>
      <c r="DT35" s="24">
        <f t="shared" si="30"/>
        <v>0</v>
      </c>
      <c r="DU35" s="24">
        <f t="shared" si="30"/>
        <v>0</v>
      </c>
      <c r="DV35" s="24">
        <f t="shared" si="31"/>
        <v>0</v>
      </c>
      <c r="DW35" s="24">
        <f t="shared" si="31"/>
        <v>0</v>
      </c>
      <c r="DX35" s="24">
        <f t="shared" si="31"/>
        <v>0</v>
      </c>
      <c r="DY35" s="24">
        <f t="shared" si="31"/>
        <v>0</v>
      </c>
      <c r="DZ35" s="24">
        <f t="shared" si="31"/>
        <v>0</v>
      </c>
      <c r="EA35" s="24">
        <f t="shared" si="31"/>
        <v>0</v>
      </c>
      <c r="EB35" s="24">
        <f t="shared" si="31"/>
        <v>40121321</v>
      </c>
      <c r="ED35" s="150"/>
      <c r="EE35" s="45">
        <f t="shared" si="32"/>
        <v>58321321</v>
      </c>
      <c r="EF35" s="45">
        <f t="shared" si="33"/>
        <v>10000000</v>
      </c>
      <c r="EG35" s="159">
        <f t="shared" si="34"/>
        <v>0.17146388025058623</v>
      </c>
    </row>
    <row r="36" spans="1:137" ht="37.15" hidden="1" customHeight="1" x14ac:dyDescent="0.25">
      <c r="A36" s="208"/>
      <c r="B36" s="231"/>
      <c r="C36" s="187" t="s">
        <v>132</v>
      </c>
      <c r="D36" s="190" t="s">
        <v>133</v>
      </c>
      <c r="E36" s="33">
        <v>410</v>
      </c>
      <c r="F36" s="188" t="s">
        <v>134</v>
      </c>
      <c r="G36" s="24">
        <f t="shared" si="23"/>
        <v>33000000</v>
      </c>
      <c r="H36" s="25">
        <f>+[7]SI!$F27</f>
        <v>14000000</v>
      </c>
      <c r="I36" s="25">
        <f t="shared" si="35"/>
        <v>-19000000</v>
      </c>
      <c r="J36" s="24"/>
      <c r="K36" s="24"/>
      <c r="L36" s="24"/>
      <c r="M36" s="24"/>
      <c r="N36" s="24"/>
      <c r="O36" s="24"/>
      <c r="P36" s="24"/>
      <c r="Q36" s="24">
        <f>10000000+10000000+10000000</f>
        <v>30000000</v>
      </c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>
        <v>3000000</v>
      </c>
      <c r="AG36" s="27">
        <f t="shared" si="1"/>
        <v>0.90909090909090906</v>
      </c>
      <c r="AH36" s="24">
        <f t="shared" si="24"/>
        <v>30000000</v>
      </c>
      <c r="AI36" s="24"/>
      <c r="AJ36" s="24"/>
      <c r="AK36" s="24"/>
      <c r="AL36" s="24"/>
      <c r="AM36" s="24"/>
      <c r="AN36" s="24"/>
      <c r="AO36" s="24"/>
      <c r="AP36" s="24">
        <f>+[3]SEPTIEMBRE!$Q$1749</f>
        <v>30000000</v>
      </c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7">
        <f t="shared" si="12"/>
        <v>9.0909090909090939E-2</v>
      </c>
      <c r="BG36" s="24">
        <f t="shared" si="25"/>
        <v>3000000</v>
      </c>
      <c r="BH36" s="24">
        <f t="shared" si="26"/>
        <v>0</v>
      </c>
      <c r="BI36" s="24">
        <f t="shared" si="26"/>
        <v>0</v>
      </c>
      <c r="BJ36" s="24">
        <f t="shared" si="26"/>
        <v>0</v>
      </c>
      <c r="BK36" s="24">
        <f t="shared" si="26"/>
        <v>0</v>
      </c>
      <c r="BL36" s="24">
        <f t="shared" si="26"/>
        <v>0</v>
      </c>
      <c r="BM36" s="24">
        <f t="shared" si="26"/>
        <v>0</v>
      </c>
      <c r="BN36" s="24">
        <f t="shared" si="26"/>
        <v>0</v>
      </c>
      <c r="BO36" s="24">
        <f t="shared" si="26"/>
        <v>0</v>
      </c>
      <c r="BP36" s="24">
        <f t="shared" si="26"/>
        <v>0</v>
      </c>
      <c r="BQ36" s="24">
        <f t="shared" si="26"/>
        <v>0</v>
      </c>
      <c r="BR36" s="24">
        <f t="shared" si="26"/>
        <v>0</v>
      </c>
      <c r="BS36" s="24">
        <f t="shared" si="26"/>
        <v>0</v>
      </c>
      <c r="BT36" s="24">
        <f t="shared" si="26"/>
        <v>0</v>
      </c>
      <c r="BU36" s="24">
        <f t="shared" si="26"/>
        <v>0</v>
      </c>
      <c r="BV36" s="24">
        <f t="shared" si="26"/>
        <v>0</v>
      </c>
      <c r="BW36" s="24">
        <f t="shared" si="26"/>
        <v>0</v>
      </c>
      <c r="BX36" s="24">
        <f t="shared" si="27"/>
        <v>0</v>
      </c>
      <c r="BY36" s="24">
        <f t="shared" si="27"/>
        <v>0</v>
      </c>
      <c r="BZ36" s="24">
        <f t="shared" si="27"/>
        <v>0</v>
      </c>
      <c r="CA36" s="24">
        <f t="shared" si="27"/>
        <v>0</v>
      </c>
      <c r="CB36" s="24">
        <f t="shared" si="27"/>
        <v>0</v>
      </c>
      <c r="CC36" s="24">
        <f t="shared" si="27"/>
        <v>0</v>
      </c>
      <c r="CD36" s="24">
        <f t="shared" si="27"/>
        <v>3000000</v>
      </c>
      <c r="CE36" s="27">
        <f t="shared" si="6"/>
        <v>0.39461800000000002</v>
      </c>
      <c r="CF36" s="24">
        <f t="shared" si="28"/>
        <v>13022394</v>
      </c>
      <c r="CG36" s="24"/>
      <c r="CH36" s="24"/>
      <c r="CI36" s="24"/>
      <c r="CJ36" s="24"/>
      <c r="CK36" s="24"/>
      <c r="CL36" s="24"/>
      <c r="CM36" s="24"/>
      <c r="CN36" s="24">
        <f>+[4]JULIO!$H$1514</f>
        <v>13022394</v>
      </c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7">
        <f t="shared" si="8"/>
        <v>0.60538199999999998</v>
      </c>
      <c r="DE36" s="24">
        <f t="shared" si="29"/>
        <v>19977606</v>
      </c>
      <c r="DF36" s="24">
        <f t="shared" si="30"/>
        <v>0</v>
      </c>
      <c r="DG36" s="24">
        <f t="shared" si="30"/>
        <v>0</v>
      </c>
      <c r="DH36" s="24">
        <f t="shared" si="30"/>
        <v>0</v>
      </c>
      <c r="DI36" s="24">
        <f t="shared" si="30"/>
        <v>0</v>
      </c>
      <c r="DJ36" s="24">
        <f t="shared" si="30"/>
        <v>0</v>
      </c>
      <c r="DK36" s="24">
        <f t="shared" si="30"/>
        <v>0</v>
      </c>
      <c r="DL36" s="24">
        <f t="shared" si="30"/>
        <v>0</v>
      </c>
      <c r="DM36" s="24">
        <f t="shared" si="30"/>
        <v>16977606</v>
      </c>
      <c r="DN36" s="24">
        <f t="shared" si="30"/>
        <v>0</v>
      </c>
      <c r="DO36" s="24">
        <f t="shared" si="30"/>
        <v>0</v>
      </c>
      <c r="DP36" s="24">
        <f t="shared" si="30"/>
        <v>0</v>
      </c>
      <c r="DQ36" s="24">
        <f t="shared" si="30"/>
        <v>0</v>
      </c>
      <c r="DR36" s="24">
        <f t="shared" si="30"/>
        <v>0</v>
      </c>
      <c r="DS36" s="24">
        <f t="shared" si="30"/>
        <v>0</v>
      </c>
      <c r="DT36" s="24">
        <f t="shared" si="30"/>
        <v>0</v>
      </c>
      <c r="DU36" s="24">
        <f t="shared" si="30"/>
        <v>0</v>
      </c>
      <c r="DV36" s="24">
        <f t="shared" si="31"/>
        <v>0</v>
      </c>
      <c r="DW36" s="24">
        <f t="shared" si="31"/>
        <v>0</v>
      </c>
      <c r="DX36" s="24">
        <f t="shared" si="31"/>
        <v>0</v>
      </c>
      <c r="DY36" s="24">
        <f t="shared" si="31"/>
        <v>0</v>
      </c>
      <c r="DZ36" s="24">
        <f t="shared" si="31"/>
        <v>0</v>
      </c>
      <c r="EA36" s="24">
        <f t="shared" si="31"/>
        <v>0</v>
      </c>
      <c r="EB36" s="24">
        <f t="shared" si="31"/>
        <v>3000000</v>
      </c>
      <c r="EC36" s="52"/>
      <c r="ED36" s="150"/>
      <c r="EE36" s="45">
        <f t="shared" si="32"/>
        <v>33000000</v>
      </c>
      <c r="EF36" s="45">
        <f t="shared" si="33"/>
        <v>13022394</v>
      </c>
      <c r="EG36" s="159">
        <f t="shared" si="34"/>
        <v>0.39461800000000002</v>
      </c>
    </row>
    <row r="37" spans="1:137" ht="32.450000000000003" hidden="1" customHeight="1" x14ac:dyDescent="0.25">
      <c r="A37" s="208"/>
      <c r="B37" s="231"/>
      <c r="C37" s="187" t="s">
        <v>135</v>
      </c>
      <c r="D37" s="190" t="s">
        <v>136</v>
      </c>
      <c r="E37" s="33">
        <v>410</v>
      </c>
      <c r="F37" s="188" t="s">
        <v>137</v>
      </c>
      <c r="G37" s="24">
        <f t="shared" si="23"/>
        <v>304000000</v>
      </c>
      <c r="H37" s="25">
        <f>+[7]SI!$F28+[7]SI!$F$29</f>
        <v>710000000</v>
      </c>
      <c r="I37" s="25">
        <f t="shared" si="35"/>
        <v>406000000</v>
      </c>
      <c r="J37" s="24"/>
      <c r="K37" s="24"/>
      <c r="L37" s="24"/>
      <c r="M37" s="24"/>
      <c r="N37" s="24"/>
      <c r="O37" s="24"/>
      <c r="P37" s="24"/>
      <c r="Q37" s="24">
        <f>9000000+150000000</f>
        <v>159000000</v>
      </c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>
        <v>100000000</v>
      </c>
      <c r="AC37" s="24"/>
      <c r="AD37" s="24"/>
      <c r="AE37" s="24"/>
      <c r="AF37" s="26">
        <f>35000000+5000000+5000000</f>
        <v>45000000</v>
      </c>
      <c r="AG37" s="27">
        <f t="shared" si="1"/>
        <v>0.76973684210526316</v>
      </c>
      <c r="AH37" s="24">
        <f t="shared" si="24"/>
        <v>234000000</v>
      </c>
      <c r="AI37" s="24"/>
      <c r="AJ37" s="24"/>
      <c r="AK37" s="24"/>
      <c r="AL37" s="24"/>
      <c r="AM37" s="24"/>
      <c r="AN37" s="24"/>
      <c r="AO37" s="24"/>
      <c r="AP37" s="24">
        <f>+[3]SEPTIEMBRE!$Q$1762</f>
        <v>123490000</v>
      </c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>
        <f>+[8]AGOSTO!$AB$1630</f>
        <v>65510000</v>
      </c>
      <c r="BB37" s="24"/>
      <c r="BC37" s="24"/>
      <c r="BD37" s="24"/>
      <c r="BE37" s="24">
        <f>+[2]OCTUBRE!$AG$1877</f>
        <v>45000000</v>
      </c>
      <c r="BF37" s="27">
        <f t="shared" si="12"/>
        <v>0.23026315789473684</v>
      </c>
      <c r="BG37" s="24">
        <f t="shared" si="25"/>
        <v>70000000</v>
      </c>
      <c r="BH37" s="24">
        <f t="shared" si="26"/>
        <v>0</v>
      </c>
      <c r="BI37" s="24">
        <f t="shared" si="26"/>
        <v>0</v>
      </c>
      <c r="BJ37" s="24">
        <f t="shared" si="26"/>
        <v>0</v>
      </c>
      <c r="BK37" s="24">
        <f t="shared" si="26"/>
        <v>0</v>
      </c>
      <c r="BL37" s="24">
        <f t="shared" si="26"/>
        <v>0</v>
      </c>
      <c r="BM37" s="24">
        <f t="shared" si="26"/>
        <v>0</v>
      </c>
      <c r="BN37" s="24">
        <f t="shared" si="26"/>
        <v>0</v>
      </c>
      <c r="BO37" s="24">
        <f t="shared" si="26"/>
        <v>35510000</v>
      </c>
      <c r="BP37" s="24">
        <f t="shared" si="26"/>
        <v>0</v>
      </c>
      <c r="BQ37" s="24">
        <f t="shared" si="26"/>
        <v>0</v>
      </c>
      <c r="BR37" s="24">
        <f t="shared" si="26"/>
        <v>0</v>
      </c>
      <c r="BS37" s="24">
        <f t="shared" si="26"/>
        <v>0</v>
      </c>
      <c r="BT37" s="24">
        <f t="shared" si="26"/>
        <v>0</v>
      </c>
      <c r="BU37" s="24">
        <f t="shared" si="26"/>
        <v>0</v>
      </c>
      <c r="BV37" s="24">
        <f t="shared" si="26"/>
        <v>0</v>
      </c>
      <c r="BW37" s="24">
        <f t="shared" si="26"/>
        <v>0</v>
      </c>
      <c r="BX37" s="24">
        <f t="shared" si="27"/>
        <v>0</v>
      </c>
      <c r="BY37" s="24">
        <f t="shared" si="27"/>
        <v>0</v>
      </c>
      <c r="BZ37" s="24">
        <f t="shared" si="27"/>
        <v>34490000</v>
      </c>
      <c r="CA37" s="24">
        <f t="shared" si="27"/>
        <v>0</v>
      </c>
      <c r="CB37" s="24">
        <f t="shared" si="27"/>
        <v>0</v>
      </c>
      <c r="CC37" s="24">
        <f t="shared" si="27"/>
        <v>0</v>
      </c>
      <c r="CD37" s="24">
        <f t="shared" si="27"/>
        <v>0</v>
      </c>
      <c r="CE37" s="27">
        <f t="shared" si="6"/>
        <v>0.36306247368421052</v>
      </c>
      <c r="CF37" s="24">
        <f t="shared" si="28"/>
        <v>110370992</v>
      </c>
      <c r="CG37" s="24"/>
      <c r="CH37" s="24"/>
      <c r="CI37" s="24"/>
      <c r="CJ37" s="24"/>
      <c r="CK37" s="24"/>
      <c r="CL37" s="24"/>
      <c r="CM37" s="24"/>
      <c r="CN37" s="24">
        <f>+[2]OCTUBRE!$H$1908+[2]OCTUBRE!$H$1913+[2]OCTUBRE!$H$1917</f>
        <v>55999996</v>
      </c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>
        <f>+[2]OCTUBRE!$H$1878+[2]OCTUBRE!$H$1884+[2]OCTUBRE!$H$1887+[2]OCTUBRE!$H$1898+[2]OCTUBRE!$H$1901</f>
        <v>54370996</v>
      </c>
      <c r="CZ37" s="24"/>
      <c r="DA37" s="24"/>
      <c r="DB37" s="24"/>
      <c r="DC37" s="24"/>
      <c r="DD37" s="27">
        <f t="shared" si="8"/>
        <v>0.63693752631578948</v>
      </c>
      <c r="DE37" s="24">
        <f t="shared" si="29"/>
        <v>193629008</v>
      </c>
      <c r="DF37" s="24">
        <f t="shared" si="30"/>
        <v>0</v>
      </c>
      <c r="DG37" s="24">
        <f t="shared" si="30"/>
        <v>0</v>
      </c>
      <c r="DH37" s="24">
        <f t="shared" si="30"/>
        <v>0</v>
      </c>
      <c r="DI37" s="24">
        <f t="shared" si="30"/>
        <v>0</v>
      </c>
      <c r="DJ37" s="24">
        <f t="shared" si="30"/>
        <v>0</v>
      </c>
      <c r="DK37" s="24">
        <f t="shared" si="30"/>
        <v>0</v>
      </c>
      <c r="DL37" s="24">
        <f t="shared" si="30"/>
        <v>0</v>
      </c>
      <c r="DM37" s="24">
        <f t="shared" si="30"/>
        <v>103000004</v>
      </c>
      <c r="DN37" s="24">
        <f t="shared" si="30"/>
        <v>0</v>
      </c>
      <c r="DO37" s="24">
        <f t="shared" si="30"/>
        <v>0</v>
      </c>
      <c r="DP37" s="24">
        <f t="shared" si="30"/>
        <v>0</v>
      </c>
      <c r="DQ37" s="24">
        <f t="shared" si="30"/>
        <v>0</v>
      </c>
      <c r="DR37" s="24">
        <f t="shared" si="30"/>
        <v>0</v>
      </c>
      <c r="DS37" s="24">
        <f t="shared" si="30"/>
        <v>0</v>
      </c>
      <c r="DT37" s="24">
        <f t="shared" si="30"/>
        <v>0</v>
      </c>
      <c r="DU37" s="24">
        <f t="shared" si="30"/>
        <v>0</v>
      </c>
      <c r="DV37" s="24">
        <f t="shared" si="31"/>
        <v>0</v>
      </c>
      <c r="DW37" s="24">
        <f t="shared" si="31"/>
        <v>0</v>
      </c>
      <c r="DX37" s="24">
        <f t="shared" si="31"/>
        <v>45629004</v>
      </c>
      <c r="DY37" s="24">
        <f t="shared" si="31"/>
        <v>0</v>
      </c>
      <c r="DZ37" s="24">
        <f t="shared" si="31"/>
        <v>0</v>
      </c>
      <c r="EA37" s="24">
        <f t="shared" si="31"/>
        <v>0</v>
      </c>
      <c r="EB37" s="24">
        <f t="shared" si="31"/>
        <v>45000000</v>
      </c>
      <c r="EC37" s="52"/>
      <c r="ED37" s="150"/>
      <c r="EE37" s="45">
        <f t="shared" si="32"/>
        <v>304000000</v>
      </c>
      <c r="EF37" s="45">
        <f t="shared" si="33"/>
        <v>110370992</v>
      </c>
      <c r="EG37" s="159">
        <f t="shared" si="34"/>
        <v>0.36306247368421052</v>
      </c>
    </row>
    <row r="38" spans="1:137" ht="33" hidden="1" customHeight="1" x14ac:dyDescent="0.25">
      <c r="A38" s="208"/>
      <c r="B38" s="231"/>
      <c r="C38" s="187" t="s">
        <v>138</v>
      </c>
      <c r="D38" s="190" t="s">
        <v>139</v>
      </c>
      <c r="E38" s="33">
        <v>410</v>
      </c>
      <c r="F38" s="188" t="s">
        <v>140</v>
      </c>
      <c r="G38" s="24">
        <f t="shared" si="23"/>
        <v>423864203</v>
      </c>
      <c r="H38" s="25">
        <f>+[7]SI!$F30+[7]SI!$F$31</f>
        <v>352500000</v>
      </c>
      <c r="I38" s="25">
        <f t="shared" si="35"/>
        <v>-71364203</v>
      </c>
      <c r="J38" s="24"/>
      <c r="K38" s="24"/>
      <c r="L38" s="24"/>
      <c r="M38" s="24"/>
      <c r="N38" s="24"/>
      <c r="O38" s="24"/>
      <c r="P38" s="24"/>
      <c r="Q38" s="24">
        <f>50000000+1878679+12121321+8708555+20496808</f>
        <v>93205363</v>
      </c>
      <c r="R38" s="24">
        <f>45000000+15000000</f>
        <v>60000000</v>
      </c>
      <c r="S38" s="24">
        <f>60000000+21000000</f>
        <v>81000000</v>
      </c>
      <c r="T38" s="24">
        <v>60000000</v>
      </c>
      <c r="U38" s="24"/>
      <c r="V38" s="24"/>
      <c r="W38" s="24"/>
      <c r="X38" s="24"/>
      <c r="Y38" s="24"/>
      <c r="Z38" s="24"/>
      <c r="AA38" s="24"/>
      <c r="AB38" s="24">
        <f>50000000-30000000+28658840</f>
        <v>48658840</v>
      </c>
      <c r="AC38" s="24"/>
      <c r="AD38" s="24"/>
      <c r="AE38" s="24"/>
      <c r="AF38" s="26">
        <f>20000000+4000000+30000000+25000000+4000000-2000000</f>
        <v>81000000</v>
      </c>
      <c r="AG38" s="27">
        <f t="shared" si="1"/>
        <v>0.83957126004339644</v>
      </c>
      <c r="AH38" s="24">
        <f t="shared" si="24"/>
        <v>355864203</v>
      </c>
      <c r="AI38" s="24"/>
      <c r="AJ38" s="24"/>
      <c r="AK38" s="24"/>
      <c r="AL38" s="24"/>
      <c r="AM38" s="24"/>
      <c r="AN38" s="24"/>
      <c r="AO38" s="24"/>
      <c r="AP38" s="24">
        <f>+[3]SEPTIEMBRE!$Q$1806</f>
        <v>61205363</v>
      </c>
      <c r="AQ38" s="24">
        <f>+'[9]ENERO 2020'!$R$1417</f>
        <v>45000000</v>
      </c>
      <c r="AR38" s="24">
        <f>+'[9]ENERO 2020'!$S$1417</f>
        <v>60000000</v>
      </c>
      <c r="AS38" s="24">
        <f>+'[9]ENERO 2020'!$T$1417</f>
        <v>60000000</v>
      </c>
      <c r="AT38" s="24"/>
      <c r="AU38" s="24"/>
      <c r="AV38" s="24"/>
      <c r="AW38" s="24"/>
      <c r="AX38" s="24"/>
      <c r="AY38" s="24"/>
      <c r="AZ38" s="24"/>
      <c r="BA38" s="24">
        <f>+[3]SEPTIEMBRE!$AB$1806</f>
        <v>48658840</v>
      </c>
      <c r="BB38" s="24"/>
      <c r="BC38" s="24"/>
      <c r="BD38" s="24"/>
      <c r="BE38" s="24">
        <f>+[2]OCTUBRE!$AG$1928</f>
        <v>81000000</v>
      </c>
      <c r="BF38" s="27">
        <f t="shared" si="12"/>
        <v>0.16042873995660356</v>
      </c>
      <c r="BG38" s="24">
        <f t="shared" si="25"/>
        <v>68000000</v>
      </c>
      <c r="BH38" s="24">
        <f t="shared" si="26"/>
        <v>0</v>
      </c>
      <c r="BI38" s="24">
        <f t="shared" si="26"/>
        <v>0</v>
      </c>
      <c r="BJ38" s="24">
        <f t="shared" si="26"/>
        <v>0</v>
      </c>
      <c r="BK38" s="24">
        <f t="shared" si="26"/>
        <v>0</v>
      </c>
      <c r="BL38" s="24">
        <f t="shared" si="26"/>
        <v>0</v>
      </c>
      <c r="BM38" s="24">
        <f t="shared" si="26"/>
        <v>0</v>
      </c>
      <c r="BN38" s="24">
        <f t="shared" si="26"/>
        <v>0</v>
      </c>
      <c r="BO38" s="24">
        <f t="shared" si="26"/>
        <v>32000000</v>
      </c>
      <c r="BP38" s="24">
        <f t="shared" si="26"/>
        <v>15000000</v>
      </c>
      <c r="BQ38" s="24">
        <f t="shared" si="26"/>
        <v>21000000</v>
      </c>
      <c r="BR38" s="24">
        <f t="shared" si="26"/>
        <v>0</v>
      </c>
      <c r="BS38" s="24">
        <f t="shared" si="26"/>
        <v>0</v>
      </c>
      <c r="BT38" s="24">
        <f t="shared" si="26"/>
        <v>0</v>
      </c>
      <c r="BU38" s="24">
        <f t="shared" si="26"/>
        <v>0</v>
      </c>
      <c r="BV38" s="24">
        <f t="shared" si="26"/>
        <v>0</v>
      </c>
      <c r="BW38" s="24">
        <f t="shared" si="26"/>
        <v>0</v>
      </c>
      <c r="BX38" s="24">
        <f t="shared" si="27"/>
        <v>0</v>
      </c>
      <c r="BY38" s="24">
        <f t="shared" si="27"/>
        <v>0</v>
      </c>
      <c r="BZ38" s="24">
        <f t="shared" si="27"/>
        <v>0</v>
      </c>
      <c r="CA38" s="24">
        <f t="shared" si="27"/>
        <v>0</v>
      </c>
      <c r="CB38" s="24">
        <f t="shared" si="27"/>
        <v>0</v>
      </c>
      <c r="CC38" s="24">
        <f t="shared" si="27"/>
        <v>0</v>
      </c>
      <c r="CD38" s="24">
        <f t="shared" si="27"/>
        <v>0</v>
      </c>
      <c r="CE38" s="27">
        <f t="shared" si="6"/>
        <v>0.23397073708533958</v>
      </c>
      <c r="CF38" s="24">
        <f t="shared" si="28"/>
        <v>99171820</v>
      </c>
      <c r="CG38" s="24"/>
      <c r="CH38" s="24"/>
      <c r="CI38" s="24"/>
      <c r="CJ38" s="24"/>
      <c r="CK38" s="24"/>
      <c r="CL38" s="24"/>
      <c r="CM38" s="24"/>
      <c r="CN38" s="24">
        <f>+[2]OCTUBRE!$H$1975+[2]OCTUBRE!$H$1981</f>
        <v>19619054</v>
      </c>
      <c r="CO38" s="24">
        <f>+[2]OCTUBRE!$H$1946</f>
        <v>10324460</v>
      </c>
      <c r="CP38" s="24">
        <f>+'[10]MAYO 2020'!$H$1832</f>
        <v>10652860</v>
      </c>
      <c r="CQ38" s="24">
        <f>+[8]AGOSTO!$H$1690</f>
        <v>15300150</v>
      </c>
      <c r="CR38" s="24"/>
      <c r="CS38" s="24"/>
      <c r="CT38" s="24"/>
      <c r="CU38" s="24"/>
      <c r="CV38" s="24"/>
      <c r="CW38" s="24"/>
      <c r="CX38" s="24"/>
      <c r="CY38" s="24">
        <f>+[2]OCTUBRE!$H$1934+[2]OCTUBRE!$H$1942+[2]OCTUBRE!$H$1978</f>
        <v>17626996</v>
      </c>
      <c r="CZ38" s="24"/>
      <c r="DA38" s="24"/>
      <c r="DB38" s="24"/>
      <c r="DC38" s="24">
        <f>+[2]OCTUBRE!$H$1929+[2]OCTUBRE!$H$1972+[2]OCTUBRE!$H$1984</f>
        <v>25648300</v>
      </c>
      <c r="DD38" s="27">
        <f t="shared" si="8"/>
        <v>0.76602926291466045</v>
      </c>
      <c r="DE38" s="24">
        <f t="shared" si="29"/>
        <v>324692383</v>
      </c>
      <c r="DF38" s="24">
        <f t="shared" si="30"/>
        <v>0</v>
      </c>
      <c r="DG38" s="24">
        <f t="shared" si="30"/>
        <v>0</v>
      </c>
      <c r="DH38" s="24">
        <f t="shared" si="30"/>
        <v>0</v>
      </c>
      <c r="DI38" s="24">
        <f t="shared" si="30"/>
        <v>0</v>
      </c>
      <c r="DJ38" s="24">
        <f t="shared" si="30"/>
        <v>0</v>
      </c>
      <c r="DK38" s="24">
        <f t="shared" si="30"/>
        <v>0</v>
      </c>
      <c r="DL38" s="24">
        <f t="shared" si="30"/>
        <v>0</v>
      </c>
      <c r="DM38" s="24">
        <f t="shared" si="30"/>
        <v>73586309</v>
      </c>
      <c r="DN38" s="24">
        <f t="shared" si="30"/>
        <v>49675540</v>
      </c>
      <c r="DO38" s="24">
        <f t="shared" si="30"/>
        <v>70347140</v>
      </c>
      <c r="DP38" s="24">
        <f t="shared" si="30"/>
        <v>44699850</v>
      </c>
      <c r="DQ38" s="24">
        <f t="shared" si="30"/>
        <v>0</v>
      </c>
      <c r="DR38" s="24">
        <f t="shared" si="30"/>
        <v>0</v>
      </c>
      <c r="DS38" s="24">
        <f t="shared" si="30"/>
        <v>0</v>
      </c>
      <c r="DT38" s="24">
        <f t="shared" si="30"/>
        <v>0</v>
      </c>
      <c r="DU38" s="24">
        <f t="shared" si="30"/>
        <v>0</v>
      </c>
      <c r="DV38" s="24">
        <f t="shared" si="31"/>
        <v>0</v>
      </c>
      <c r="DW38" s="24">
        <f t="shared" si="31"/>
        <v>0</v>
      </c>
      <c r="DX38" s="24">
        <f t="shared" si="31"/>
        <v>31031844</v>
      </c>
      <c r="DY38" s="24">
        <f t="shared" si="31"/>
        <v>0</v>
      </c>
      <c r="DZ38" s="24">
        <f t="shared" si="31"/>
        <v>0</v>
      </c>
      <c r="EA38" s="24">
        <f t="shared" si="31"/>
        <v>0</v>
      </c>
      <c r="EB38" s="24">
        <f t="shared" si="31"/>
        <v>55351700</v>
      </c>
      <c r="ED38" s="150"/>
      <c r="EE38" s="45">
        <f t="shared" si="32"/>
        <v>423864203</v>
      </c>
      <c r="EF38" s="45">
        <f t="shared" si="33"/>
        <v>99171820</v>
      </c>
      <c r="EG38" s="159">
        <f t="shared" si="34"/>
        <v>0.23397073708533958</v>
      </c>
    </row>
    <row r="39" spans="1:137" ht="22.15" hidden="1" customHeight="1" x14ac:dyDescent="0.25">
      <c r="A39" s="208"/>
      <c r="B39" s="231"/>
      <c r="C39" s="187" t="s">
        <v>141</v>
      </c>
      <c r="D39" s="190" t="s">
        <v>142</v>
      </c>
      <c r="E39" s="33">
        <v>410</v>
      </c>
      <c r="F39" s="192" t="s">
        <v>117</v>
      </c>
      <c r="G39" s="24">
        <f t="shared" si="23"/>
        <v>51166666</v>
      </c>
      <c r="H39" s="25">
        <f>+[7]SI!$F32</f>
        <v>36000000</v>
      </c>
      <c r="I39" s="25">
        <f t="shared" si="35"/>
        <v>-15166666</v>
      </c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>
        <f>30000000+21166666</f>
        <v>51166666</v>
      </c>
      <c r="AC39" s="24"/>
      <c r="AD39" s="24"/>
      <c r="AE39" s="24"/>
      <c r="AF39" s="24">
        <v>0</v>
      </c>
      <c r="AG39" s="27">
        <f t="shared" si="1"/>
        <v>0.95114006450996824</v>
      </c>
      <c r="AH39" s="24">
        <f t="shared" si="24"/>
        <v>48666666</v>
      </c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>
        <f>+[4]JULIO!$AB$1608</f>
        <v>48666666</v>
      </c>
      <c r="BB39" s="24"/>
      <c r="BC39" s="24"/>
      <c r="BD39" s="24"/>
      <c r="BE39" s="24"/>
      <c r="BF39" s="27">
        <f t="shared" si="12"/>
        <v>4.8859935490031758E-2</v>
      </c>
      <c r="BG39" s="24">
        <f t="shared" si="25"/>
        <v>2500000</v>
      </c>
      <c r="BH39" s="24">
        <f t="shared" si="26"/>
        <v>0</v>
      </c>
      <c r="BI39" s="24">
        <f t="shared" si="26"/>
        <v>0</v>
      </c>
      <c r="BJ39" s="24">
        <f t="shared" si="26"/>
        <v>0</v>
      </c>
      <c r="BK39" s="24">
        <f t="shared" si="26"/>
        <v>0</v>
      </c>
      <c r="BL39" s="24">
        <f t="shared" si="26"/>
        <v>0</v>
      </c>
      <c r="BM39" s="24">
        <f t="shared" si="26"/>
        <v>0</v>
      </c>
      <c r="BN39" s="24">
        <f t="shared" si="26"/>
        <v>0</v>
      </c>
      <c r="BO39" s="24">
        <f t="shared" si="26"/>
        <v>0</v>
      </c>
      <c r="BP39" s="24">
        <f t="shared" si="26"/>
        <v>0</v>
      </c>
      <c r="BQ39" s="24">
        <f t="shared" si="26"/>
        <v>0</v>
      </c>
      <c r="BR39" s="24">
        <f t="shared" si="26"/>
        <v>0</v>
      </c>
      <c r="BS39" s="24">
        <f t="shared" si="26"/>
        <v>0</v>
      </c>
      <c r="BT39" s="24">
        <f t="shared" si="26"/>
        <v>0</v>
      </c>
      <c r="BU39" s="24">
        <f t="shared" si="26"/>
        <v>0</v>
      </c>
      <c r="BV39" s="24">
        <f t="shared" si="26"/>
        <v>0</v>
      </c>
      <c r="BW39" s="24">
        <f t="shared" si="26"/>
        <v>0</v>
      </c>
      <c r="BX39" s="24">
        <f t="shared" si="27"/>
        <v>0</v>
      </c>
      <c r="BY39" s="24">
        <f t="shared" si="27"/>
        <v>0</v>
      </c>
      <c r="BZ39" s="24">
        <f t="shared" si="27"/>
        <v>2500000</v>
      </c>
      <c r="CA39" s="24">
        <f t="shared" si="27"/>
        <v>0</v>
      </c>
      <c r="CB39" s="24">
        <f t="shared" si="27"/>
        <v>0</v>
      </c>
      <c r="CC39" s="24">
        <f t="shared" si="27"/>
        <v>0</v>
      </c>
      <c r="CD39" s="24">
        <f t="shared" si="27"/>
        <v>0</v>
      </c>
      <c r="CE39" s="27">
        <f t="shared" si="6"/>
        <v>0.9511400058780457</v>
      </c>
      <c r="CF39" s="24">
        <f t="shared" si="28"/>
        <v>48666663</v>
      </c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>
        <f>+[8]AGOSTO!$H$1716</f>
        <v>48666663</v>
      </c>
      <c r="CZ39" s="24"/>
      <c r="DA39" s="24"/>
      <c r="DB39" s="24"/>
      <c r="DC39" s="24"/>
      <c r="DD39" s="27">
        <f t="shared" si="8"/>
        <v>4.8859994121954298E-2</v>
      </c>
      <c r="DE39" s="24">
        <f t="shared" si="29"/>
        <v>2500003</v>
      </c>
      <c r="DF39" s="24">
        <f t="shared" si="30"/>
        <v>0</v>
      </c>
      <c r="DG39" s="24">
        <f t="shared" si="30"/>
        <v>0</v>
      </c>
      <c r="DH39" s="24">
        <f t="shared" si="30"/>
        <v>0</v>
      </c>
      <c r="DI39" s="24">
        <f t="shared" si="30"/>
        <v>0</v>
      </c>
      <c r="DJ39" s="24">
        <f t="shared" si="30"/>
        <v>0</v>
      </c>
      <c r="DK39" s="24">
        <f t="shared" si="30"/>
        <v>0</v>
      </c>
      <c r="DL39" s="24">
        <f t="shared" si="30"/>
        <v>0</v>
      </c>
      <c r="DM39" s="24">
        <f t="shared" si="30"/>
        <v>0</v>
      </c>
      <c r="DN39" s="24">
        <f t="shared" si="30"/>
        <v>0</v>
      </c>
      <c r="DO39" s="24">
        <f t="shared" si="30"/>
        <v>0</v>
      </c>
      <c r="DP39" s="24">
        <f t="shared" si="30"/>
        <v>0</v>
      </c>
      <c r="DQ39" s="24">
        <f t="shared" si="30"/>
        <v>0</v>
      </c>
      <c r="DR39" s="24">
        <f t="shared" si="30"/>
        <v>0</v>
      </c>
      <c r="DS39" s="24">
        <f t="shared" si="30"/>
        <v>0</v>
      </c>
      <c r="DT39" s="24">
        <f t="shared" si="30"/>
        <v>0</v>
      </c>
      <c r="DU39" s="24">
        <f t="shared" si="30"/>
        <v>0</v>
      </c>
      <c r="DV39" s="24">
        <f t="shared" si="31"/>
        <v>0</v>
      </c>
      <c r="DW39" s="24">
        <f t="shared" si="31"/>
        <v>0</v>
      </c>
      <c r="DX39" s="24">
        <f t="shared" si="31"/>
        <v>2500003</v>
      </c>
      <c r="DY39" s="24">
        <f t="shared" si="31"/>
        <v>0</v>
      </c>
      <c r="DZ39" s="24">
        <f t="shared" si="31"/>
        <v>0</v>
      </c>
      <c r="EA39" s="24">
        <f t="shared" si="31"/>
        <v>0</v>
      </c>
      <c r="EB39" s="24">
        <f t="shared" si="31"/>
        <v>0</v>
      </c>
      <c r="ED39" s="150"/>
      <c r="EE39" s="45">
        <f t="shared" si="32"/>
        <v>51166666</v>
      </c>
      <c r="EF39" s="45">
        <f t="shared" si="33"/>
        <v>48666663</v>
      </c>
      <c r="EG39" s="159">
        <f t="shared" si="34"/>
        <v>0.9511400058780457</v>
      </c>
    </row>
    <row r="40" spans="1:137" ht="21.6" hidden="1" customHeight="1" x14ac:dyDescent="0.25">
      <c r="A40" s="208"/>
      <c r="B40" s="231"/>
      <c r="C40" s="187" t="s">
        <v>143</v>
      </c>
      <c r="D40" s="190" t="s">
        <v>144</v>
      </c>
      <c r="E40" s="33">
        <v>410</v>
      </c>
      <c r="F40" s="192" t="s">
        <v>117</v>
      </c>
      <c r="G40" s="24">
        <f t="shared" si="23"/>
        <v>50000000</v>
      </c>
      <c r="H40" s="25">
        <f>+[7]SI!$F33</f>
        <v>110500000</v>
      </c>
      <c r="I40" s="25">
        <f t="shared" si="35"/>
        <v>60500000</v>
      </c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>
        <v>50000000</v>
      </c>
      <c r="AC40" s="24"/>
      <c r="AD40" s="24"/>
      <c r="AE40" s="24"/>
      <c r="AF40" s="24">
        <v>0</v>
      </c>
      <c r="AG40" s="27">
        <f t="shared" si="1"/>
        <v>1</v>
      </c>
      <c r="AH40" s="24">
        <f t="shared" si="24"/>
        <v>50000000</v>
      </c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>
        <f>+[8]AGOSTO!$AB$1737</f>
        <v>50000000</v>
      </c>
      <c r="BB40" s="24"/>
      <c r="BC40" s="24"/>
      <c r="BD40" s="24"/>
      <c r="BE40" s="24"/>
      <c r="BF40" s="27">
        <f t="shared" si="12"/>
        <v>0</v>
      </c>
      <c r="BG40" s="24">
        <f t="shared" si="25"/>
        <v>0</v>
      </c>
      <c r="BH40" s="24">
        <f t="shared" si="26"/>
        <v>0</v>
      </c>
      <c r="BI40" s="24">
        <f t="shared" si="26"/>
        <v>0</v>
      </c>
      <c r="BJ40" s="24">
        <f t="shared" si="26"/>
        <v>0</v>
      </c>
      <c r="BK40" s="24">
        <f t="shared" si="26"/>
        <v>0</v>
      </c>
      <c r="BL40" s="24">
        <f t="shared" si="26"/>
        <v>0</v>
      </c>
      <c r="BM40" s="24">
        <f t="shared" si="26"/>
        <v>0</v>
      </c>
      <c r="BN40" s="24">
        <f t="shared" si="26"/>
        <v>0</v>
      </c>
      <c r="BO40" s="24">
        <f t="shared" si="26"/>
        <v>0</v>
      </c>
      <c r="BP40" s="24">
        <f t="shared" si="26"/>
        <v>0</v>
      </c>
      <c r="BQ40" s="24">
        <f t="shared" si="26"/>
        <v>0</v>
      </c>
      <c r="BR40" s="24">
        <f t="shared" si="26"/>
        <v>0</v>
      </c>
      <c r="BS40" s="24">
        <f t="shared" si="26"/>
        <v>0</v>
      </c>
      <c r="BT40" s="24">
        <f t="shared" si="26"/>
        <v>0</v>
      </c>
      <c r="BU40" s="24">
        <f t="shared" si="26"/>
        <v>0</v>
      </c>
      <c r="BV40" s="24">
        <f t="shared" si="26"/>
        <v>0</v>
      </c>
      <c r="BW40" s="24">
        <f t="shared" ref="BW40:BW49" si="36">+Y40-AX40</f>
        <v>0</v>
      </c>
      <c r="BX40" s="24">
        <f t="shared" si="27"/>
        <v>0</v>
      </c>
      <c r="BY40" s="24">
        <f t="shared" si="27"/>
        <v>0</v>
      </c>
      <c r="BZ40" s="24">
        <f t="shared" si="27"/>
        <v>0</v>
      </c>
      <c r="CA40" s="24">
        <f t="shared" si="27"/>
        <v>0</v>
      </c>
      <c r="CB40" s="24">
        <f t="shared" si="27"/>
        <v>0</v>
      </c>
      <c r="CC40" s="24">
        <f t="shared" si="27"/>
        <v>0</v>
      </c>
      <c r="CD40" s="24">
        <f t="shared" si="27"/>
        <v>0</v>
      </c>
      <c r="CE40" s="27">
        <f t="shared" si="6"/>
        <v>0.40003514000000001</v>
      </c>
      <c r="CF40" s="24">
        <f t="shared" si="28"/>
        <v>20001757</v>
      </c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>
        <f>+[8]AGOSTO!$H$1735</f>
        <v>20001757</v>
      </c>
      <c r="CZ40" s="24"/>
      <c r="DA40" s="24"/>
      <c r="DB40" s="24"/>
      <c r="DC40" s="24"/>
      <c r="DD40" s="27">
        <f t="shared" si="8"/>
        <v>0.59996486000000004</v>
      </c>
      <c r="DE40" s="24">
        <f t="shared" si="29"/>
        <v>29998243</v>
      </c>
      <c r="DF40" s="24">
        <f t="shared" si="30"/>
        <v>0</v>
      </c>
      <c r="DG40" s="24">
        <f t="shared" si="30"/>
        <v>0</v>
      </c>
      <c r="DH40" s="24">
        <f t="shared" si="30"/>
        <v>0</v>
      </c>
      <c r="DI40" s="24">
        <f t="shared" si="30"/>
        <v>0</v>
      </c>
      <c r="DJ40" s="24">
        <f t="shared" si="30"/>
        <v>0</v>
      </c>
      <c r="DK40" s="24">
        <f t="shared" si="30"/>
        <v>0</v>
      </c>
      <c r="DL40" s="24">
        <f t="shared" si="30"/>
        <v>0</v>
      </c>
      <c r="DM40" s="24">
        <f t="shared" si="30"/>
        <v>0</v>
      </c>
      <c r="DN40" s="24">
        <f t="shared" si="30"/>
        <v>0</v>
      </c>
      <c r="DO40" s="24">
        <f t="shared" si="30"/>
        <v>0</v>
      </c>
      <c r="DP40" s="24">
        <f t="shared" si="30"/>
        <v>0</v>
      </c>
      <c r="DQ40" s="24">
        <f t="shared" si="30"/>
        <v>0</v>
      </c>
      <c r="DR40" s="24">
        <f t="shared" si="30"/>
        <v>0</v>
      </c>
      <c r="DS40" s="24">
        <f t="shared" si="30"/>
        <v>0</v>
      </c>
      <c r="DT40" s="24">
        <f t="shared" si="30"/>
        <v>0</v>
      </c>
      <c r="DU40" s="24">
        <f t="shared" ref="DU40:DU49" si="37">+Y40-CV40</f>
        <v>0</v>
      </c>
      <c r="DV40" s="24">
        <f t="shared" si="31"/>
        <v>0</v>
      </c>
      <c r="DW40" s="24">
        <f t="shared" si="31"/>
        <v>0</v>
      </c>
      <c r="DX40" s="24">
        <f t="shared" si="31"/>
        <v>29998243</v>
      </c>
      <c r="DY40" s="24">
        <f t="shared" si="31"/>
        <v>0</v>
      </c>
      <c r="DZ40" s="24">
        <f t="shared" si="31"/>
        <v>0</v>
      </c>
      <c r="EA40" s="24">
        <f t="shared" si="31"/>
        <v>0</v>
      </c>
      <c r="EB40" s="24">
        <f t="shared" si="31"/>
        <v>0</v>
      </c>
      <c r="ED40" s="150"/>
      <c r="EE40" s="45">
        <f t="shared" si="32"/>
        <v>50000000</v>
      </c>
      <c r="EF40" s="45">
        <f t="shared" si="33"/>
        <v>20001757</v>
      </c>
      <c r="EG40" s="159">
        <f t="shared" si="34"/>
        <v>0.40003514000000001</v>
      </c>
    </row>
    <row r="41" spans="1:137" ht="34.15" hidden="1" customHeight="1" x14ac:dyDescent="0.25">
      <c r="A41" s="208"/>
      <c r="B41" s="231"/>
      <c r="C41" s="187" t="s">
        <v>145</v>
      </c>
      <c r="D41" s="190" t="s">
        <v>146</v>
      </c>
      <c r="E41" s="33">
        <v>410</v>
      </c>
      <c r="F41" s="192" t="s">
        <v>117</v>
      </c>
      <c r="G41" s="24">
        <f t="shared" si="23"/>
        <v>38241931</v>
      </c>
      <c r="H41" s="25">
        <f>+[7]SI!$F34</f>
        <v>62000000</v>
      </c>
      <c r="I41" s="25">
        <f t="shared" si="35"/>
        <v>23758069</v>
      </c>
      <c r="J41" s="24"/>
      <c r="K41" s="24"/>
      <c r="L41" s="24"/>
      <c r="M41" s="24"/>
      <c r="N41" s="24"/>
      <c r="O41" s="24"/>
      <c r="P41" s="24"/>
      <c r="Q41" s="24">
        <v>10000000</v>
      </c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>
        <f>20000000+8241931</f>
        <v>28241931</v>
      </c>
      <c r="AC41" s="24"/>
      <c r="AD41" s="24"/>
      <c r="AE41" s="24"/>
      <c r="AF41" s="24">
        <v>0</v>
      </c>
      <c r="AG41" s="27">
        <f t="shared" si="1"/>
        <v>0.96710247189139065</v>
      </c>
      <c r="AH41" s="24">
        <f t="shared" si="24"/>
        <v>36983866</v>
      </c>
      <c r="AI41" s="24"/>
      <c r="AJ41" s="24"/>
      <c r="AK41" s="24"/>
      <c r="AL41" s="24"/>
      <c r="AM41" s="24"/>
      <c r="AN41" s="24"/>
      <c r="AO41" s="24"/>
      <c r="AP41" s="24">
        <f>+'[9]ENERO 2020'!$Q$1468</f>
        <v>10000000</v>
      </c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>
        <f>+[4]JULIO!$AB$1639</f>
        <v>26983866</v>
      </c>
      <c r="BB41" s="24"/>
      <c r="BC41" s="24"/>
      <c r="BD41" s="24"/>
      <c r="BE41" s="24"/>
      <c r="BF41" s="27">
        <f t="shared" si="12"/>
        <v>3.2897528108609353E-2</v>
      </c>
      <c r="BG41" s="24">
        <f t="shared" si="25"/>
        <v>1258065</v>
      </c>
      <c r="BH41" s="24">
        <f t="shared" ref="BH41:BV49" si="38">+J41-AI41</f>
        <v>0</v>
      </c>
      <c r="BI41" s="24">
        <f t="shared" si="38"/>
        <v>0</v>
      </c>
      <c r="BJ41" s="24">
        <f t="shared" si="38"/>
        <v>0</v>
      </c>
      <c r="BK41" s="24">
        <f t="shared" si="38"/>
        <v>0</v>
      </c>
      <c r="BL41" s="24">
        <f t="shared" si="38"/>
        <v>0</v>
      </c>
      <c r="BM41" s="24">
        <f t="shared" si="38"/>
        <v>0</v>
      </c>
      <c r="BN41" s="24">
        <f t="shared" si="38"/>
        <v>0</v>
      </c>
      <c r="BO41" s="24">
        <f t="shared" si="38"/>
        <v>0</v>
      </c>
      <c r="BP41" s="24">
        <f t="shared" si="38"/>
        <v>0</v>
      </c>
      <c r="BQ41" s="24">
        <f t="shared" si="38"/>
        <v>0</v>
      </c>
      <c r="BR41" s="24">
        <f t="shared" si="38"/>
        <v>0</v>
      </c>
      <c r="BS41" s="24">
        <f t="shared" si="38"/>
        <v>0</v>
      </c>
      <c r="BT41" s="24">
        <f t="shared" si="38"/>
        <v>0</v>
      </c>
      <c r="BU41" s="24">
        <f t="shared" si="38"/>
        <v>0</v>
      </c>
      <c r="BV41" s="24">
        <f t="shared" si="38"/>
        <v>0</v>
      </c>
      <c r="BW41" s="24">
        <f t="shared" si="36"/>
        <v>0</v>
      </c>
      <c r="BX41" s="24">
        <f t="shared" si="27"/>
        <v>0</v>
      </c>
      <c r="BY41" s="24">
        <f t="shared" si="27"/>
        <v>0</v>
      </c>
      <c r="BZ41" s="24">
        <f t="shared" si="27"/>
        <v>1258065</v>
      </c>
      <c r="CA41" s="24">
        <f t="shared" si="27"/>
        <v>0</v>
      </c>
      <c r="CB41" s="24">
        <f t="shared" si="27"/>
        <v>0</v>
      </c>
      <c r="CC41" s="24">
        <f t="shared" si="27"/>
        <v>0</v>
      </c>
      <c r="CD41" s="24">
        <f t="shared" si="27"/>
        <v>0</v>
      </c>
      <c r="CE41" s="27">
        <f t="shared" si="6"/>
        <v>0.94159986324958334</v>
      </c>
      <c r="CF41" s="24">
        <f t="shared" si="28"/>
        <v>36008597</v>
      </c>
      <c r="CG41" s="24"/>
      <c r="CH41" s="24"/>
      <c r="CI41" s="24"/>
      <c r="CJ41" s="24"/>
      <c r="CK41" s="24"/>
      <c r="CL41" s="24"/>
      <c r="CM41" s="24"/>
      <c r="CN41" s="24">
        <f>+[8]AGOSTO!$H$1763</f>
        <v>10000000</v>
      </c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>
        <f>+[8]AGOSTO!$H$1760+[8]AGOSTO!$H$1768</f>
        <v>26008597</v>
      </c>
      <c r="CZ41" s="24"/>
      <c r="DA41" s="24"/>
      <c r="DB41" s="24"/>
      <c r="DC41" s="24"/>
      <c r="DD41" s="27">
        <f t="shared" si="8"/>
        <v>5.8400136750416665E-2</v>
      </c>
      <c r="DE41" s="24">
        <f t="shared" si="29"/>
        <v>2233334</v>
      </c>
      <c r="DF41" s="24">
        <f t="shared" ref="DF41:DT49" si="39">+J41-CG41</f>
        <v>0</v>
      </c>
      <c r="DG41" s="24">
        <f t="shared" si="39"/>
        <v>0</v>
      </c>
      <c r="DH41" s="24">
        <f t="shared" si="39"/>
        <v>0</v>
      </c>
      <c r="DI41" s="24">
        <f t="shared" si="39"/>
        <v>0</v>
      </c>
      <c r="DJ41" s="24">
        <f t="shared" si="39"/>
        <v>0</v>
      </c>
      <c r="DK41" s="24">
        <f t="shared" si="39"/>
        <v>0</v>
      </c>
      <c r="DL41" s="24">
        <f t="shared" si="39"/>
        <v>0</v>
      </c>
      <c r="DM41" s="24">
        <f t="shared" si="39"/>
        <v>0</v>
      </c>
      <c r="DN41" s="24">
        <f t="shared" si="39"/>
        <v>0</v>
      </c>
      <c r="DO41" s="24">
        <f t="shared" si="39"/>
        <v>0</v>
      </c>
      <c r="DP41" s="24">
        <f t="shared" si="39"/>
        <v>0</v>
      </c>
      <c r="DQ41" s="24">
        <f t="shared" si="39"/>
        <v>0</v>
      </c>
      <c r="DR41" s="24">
        <f t="shared" si="39"/>
        <v>0</v>
      </c>
      <c r="DS41" s="24">
        <f t="shared" si="39"/>
        <v>0</v>
      </c>
      <c r="DT41" s="24">
        <f t="shared" si="39"/>
        <v>0</v>
      </c>
      <c r="DU41" s="24">
        <f t="shared" si="37"/>
        <v>0</v>
      </c>
      <c r="DV41" s="24">
        <f t="shared" si="31"/>
        <v>0</v>
      </c>
      <c r="DW41" s="24">
        <f t="shared" si="31"/>
        <v>0</v>
      </c>
      <c r="DX41" s="24">
        <f t="shared" si="31"/>
        <v>2233334</v>
      </c>
      <c r="DY41" s="24">
        <f t="shared" si="31"/>
        <v>0</v>
      </c>
      <c r="DZ41" s="24">
        <f t="shared" si="31"/>
        <v>0</v>
      </c>
      <c r="EA41" s="24">
        <f t="shared" si="31"/>
        <v>0</v>
      </c>
      <c r="EB41" s="24">
        <f t="shared" si="31"/>
        <v>0</v>
      </c>
      <c r="ED41" s="150"/>
      <c r="EE41" s="45">
        <f t="shared" si="32"/>
        <v>38241931</v>
      </c>
      <c r="EF41" s="45">
        <f t="shared" si="33"/>
        <v>36008597</v>
      </c>
      <c r="EG41" s="159">
        <f t="shared" si="34"/>
        <v>0.94159986324958334</v>
      </c>
    </row>
    <row r="42" spans="1:137" ht="19.899999999999999" hidden="1" customHeight="1" x14ac:dyDescent="0.25">
      <c r="A42" s="208"/>
      <c r="B42" s="231"/>
      <c r="C42" s="187" t="s">
        <v>147</v>
      </c>
      <c r="D42" s="190" t="s">
        <v>148</v>
      </c>
      <c r="E42" s="33">
        <v>410</v>
      </c>
      <c r="F42" s="192" t="s">
        <v>117</v>
      </c>
      <c r="G42" s="24">
        <f t="shared" si="23"/>
        <v>160000000</v>
      </c>
      <c r="H42" s="25">
        <f>+[7]SI!$F36</f>
        <v>324000000</v>
      </c>
      <c r="I42" s="25">
        <f t="shared" si="35"/>
        <v>164000000</v>
      </c>
      <c r="J42" s="24"/>
      <c r="K42" s="24"/>
      <c r="L42" s="24"/>
      <c r="M42" s="24"/>
      <c r="N42" s="24"/>
      <c r="O42" s="24"/>
      <c r="P42" s="24"/>
      <c r="Q42" s="24">
        <f>4000000+92777779</f>
        <v>96777779</v>
      </c>
      <c r="R42" s="24"/>
      <c r="S42" s="24"/>
      <c r="T42" s="24"/>
      <c r="U42" s="24"/>
      <c r="V42" s="24"/>
      <c r="W42" s="24"/>
      <c r="X42" s="26"/>
      <c r="Y42" s="26"/>
      <c r="Z42" s="26"/>
      <c r="AA42" s="26"/>
      <c r="AB42" s="26">
        <f>53000000+222221+10000000</f>
        <v>63222221</v>
      </c>
      <c r="AC42" s="26"/>
      <c r="AD42" s="26"/>
      <c r="AE42" s="26"/>
      <c r="AF42" s="26">
        <v>0</v>
      </c>
      <c r="AG42" s="27">
        <f t="shared" si="1"/>
        <v>1</v>
      </c>
      <c r="AH42" s="24">
        <f t="shared" si="24"/>
        <v>160000000</v>
      </c>
      <c r="AI42" s="24"/>
      <c r="AJ42" s="24"/>
      <c r="AK42" s="24"/>
      <c r="AL42" s="24"/>
      <c r="AM42" s="24"/>
      <c r="AN42" s="24"/>
      <c r="AO42" s="24"/>
      <c r="AP42" s="24">
        <f>+[3]SEPTIEMBRE!$Q$1935</f>
        <v>96777779</v>
      </c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>
        <f>+[4]JULIO!$AB$1656</f>
        <v>63222221</v>
      </c>
      <c r="BB42" s="24"/>
      <c r="BC42" s="24"/>
      <c r="BD42" s="24"/>
      <c r="BE42" s="24"/>
      <c r="BF42" s="27">
        <f t="shared" si="12"/>
        <v>0</v>
      </c>
      <c r="BG42" s="24">
        <f t="shared" si="25"/>
        <v>0</v>
      </c>
      <c r="BH42" s="24">
        <f t="shared" si="38"/>
        <v>0</v>
      </c>
      <c r="BI42" s="24">
        <f t="shared" si="38"/>
        <v>0</v>
      </c>
      <c r="BJ42" s="24">
        <f t="shared" si="38"/>
        <v>0</v>
      </c>
      <c r="BK42" s="24">
        <f t="shared" si="38"/>
        <v>0</v>
      </c>
      <c r="BL42" s="24">
        <f t="shared" si="38"/>
        <v>0</v>
      </c>
      <c r="BM42" s="24">
        <f t="shared" si="38"/>
        <v>0</v>
      </c>
      <c r="BN42" s="24">
        <f t="shared" si="38"/>
        <v>0</v>
      </c>
      <c r="BO42" s="24">
        <f t="shared" si="38"/>
        <v>0</v>
      </c>
      <c r="BP42" s="24">
        <f t="shared" si="38"/>
        <v>0</v>
      </c>
      <c r="BQ42" s="24">
        <f t="shared" si="38"/>
        <v>0</v>
      </c>
      <c r="BR42" s="24">
        <f t="shared" si="38"/>
        <v>0</v>
      </c>
      <c r="BS42" s="24">
        <f t="shared" si="38"/>
        <v>0</v>
      </c>
      <c r="BT42" s="24">
        <f t="shared" si="38"/>
        <v>0</v>
      </c>
      <c r="BU42" s="24">
        <f t="shared" si="38"/>
        <v>0</v>
      </c>
      <c r="BV42" s="24">
        <f t="shared" si="38"/>
        <v>0</v>
      </c>
      <c r="BW42" s="24">
        <f t="shared" si="36"/>
        <v>0</v>
      </c>
      <c r="BX42" s="24">
        <f t="shared" si="27"/>
        <v>0</v>
      </c>
      <c r="BY42" s="24">
        <f t="shared" si="27"/>
        <v>0</v>
      </c>
      <c r="BZ42" s="24">
        <f t="shared" si="27"/>
        <v>0</v>
      </c>
      <c r="CA42" s="24">
        <f t="shared" si="27"/>
        <v>0</v>
      </c>
      <c r="CB42" s="24">
        <f t="shared" si="27"/>
        <v>0</v>
      </c>
      <c r="CC42" s="24">
        <f t="shared" si="27"/>
        <v>0</v>
      </c>
      <c r="CD42" s="24">
        <f t="shared" si="27"/>
        <v>0</v>
      </c>
      <c r="CE42" s="27">
        <f t="shared" si="6"/>
        <v>0.75198057500000004</v>
      </c>
      <c r="CF42" s="24">
        <f t="shared" si="28"/>
        <v>120316892</v>
      </c>
      <c r="CG42" s="24"/>
      <c r="CH42" s="24"/>
      <c r="CI42" s="24"/>
      <c r="CJ42" s="24"/>
      <c r="CK42" s="24"/>
      <c r="CL42" s="24"/>
      <c r="CM42" s="24"/>
      <c r="CN42" s="24">
        <f>[2]OCTUBRE!$H$2058-CY42</f>
        <v>59155921</v>
      </c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>
        <f>+[2]OCTUBRE!$H$2061+[2]OCTUBRE!$H$2074</f>
        <v>61160971</v>
      </c>
      <c r="CZ42" s="24"/>
      <c r="DA42" s="24"/>
      <c r="DB42" s="24"/>
      <c r="DC42" s="24"/>
      <c r="DD42" s="27">
        <f t="shared" si="8"/>
        <v>0.24801942499999996</v>
      </c>
      <c r="DE42" s="24">
        <f t="shared" si="29"/>
        <v>39683108</v>
      </c>
      <c r="DF42" s="24">
        <f t="shared" si="39"/>
        <v>0</v>
      </c>
      <c r="DG42" s="24">
        <f t="shared" si="39"/>
        <v>0</v>
      </c>
      <c r="DH42" s="24">
        <f t="shared" si="39"/>
        <v>0</v>
      </c>
      <c r="DI42" s="24">
        <f t="shared" si="39"/>
        <v>0</v>
      </c>
      <c r="DJ42" s="24">
        <f t="shared" si="39"/>
        <v>0</v>
      </c>
      <c r="DK42" s="24">
        <f t="shared" si="39"/>
        <v>0</v>
      </c>
      <c r="DL42" s="24">
        <f t="shared" si="39"/>
        <v>0</v>
      </c>
      <c r="DM42" s="24">
        <f t="shared" si="39"/>
        <v>37621858</v>
      </c>
      <c r="DN42" s="24">
        <f t="shared" si="39"/>
        <v>0</v>
      </c>
      <c r="DO42" s="24">
        <f t="shared" si="39"/>
        <v>0</v>
      </c>
      <c r="DP42" s="24">
        <f t="shared" si="39"/>
        <v>0</v>
      </c>
      <c r="DQ42" s="24">
        <f t="shared" si="39"/>
        <v>0</v>
      </c>
      <c r="DR42" s="24">
        <f t="shared" si="39"/>
        <v>0</v>
      </c>
      <c r="DS42" s="24">
        <f t="shared" si="39"/>
        <v>0</v>
      </c>
      <c r="DT42" s="24">
        <f t="shared" si="39"/>
        <v>0</v>
      </c>
      <c r="DU42" s="24">
        <f t="shared" si="37"/>
        <v>0</v>
      </c>
      <c r="DV42" s="24">
        <f t="shared" si="31"/>
        <v>0</v>
      </c>
      <c r="DW42" s="24">
        <f t="shared" si="31"/>
        <v>0</v>
      </c>
      <c r="DX42" s="24">
        <f t="shared" si="31"/>
        <v>2061250</v>
      </c>
      <c r="DY42" s="24">
        <f t="shared" si="31"/>
        <v>0</v>
      </c>
      <c r="DZ42" s="24">
        <f t="shared" si="31"/>
        <v>0</v>
      </c>
      <c r="EA42" s="24">
        <f t="shared" si="31"/>
        <v>0</v>
      </c>
      <c r="EB42" s="24">
        <f t="shared" si="31"/>
        <v>0</v>
      </c>
      <c r="ED42" s="150"/>
      <c r="EE42" s="45">
        <f t="shared" si="32"/>
        <v>160000000</v>
      </c>
      <c r="EF42" s="45">
        <f t="shared" si="33"/>
        <v>120316892</v>
      </c>
      <c r="EG42" s="159">
        <f t="shared" si="34"/>
        <v>0.75198057500000004</v>
      </c>
    </row>
    <row r="43" spans="1:137" ht="21" hidden="1" customHeight="1" x14ac:dyDescent="0.25">
      <c r="A43" s="208"/>
      <c r="B43" s="231"/>
      <c r="C43" s="187" t="s">
        <v>149</v>
      </c>
      <c r="D43" s="190" t="s">
        <v>150</v>
      </c>
      <c r="E43" s="33">
        <v>410</v>
      </c>
      <c r="F43" s="192" t="s">
        <v>117</v>
      </c>
      <c r="G43" s="24">
        <f t="shared" si="23"/>
        <v>424081566</v>
      </c>
      <c r="H43" s="25">
        <f>+[7]SI!$F37</f>
        <v>600000000</v>
      </c>
      <c r="I43" s="25">
        <f t="shared" si="35"/>
        <v>175918434</v>
      </c>
      <c r="J43" s="24"/>
      <c r="K43" s="24"/>
      <c r="L43" s="24"/>
      <c r="M43" s="24"/>
      <c r="N43" s="24"/>
      <c r="O43" s="24"/>
      <c r="P43" s="24"/>
      <c r="Q43" s="24">
        <f>30000000</f>
        <v>30000000</v>
      </c>
      <c r="R43" s="24"/>
      <c r="S43" s="24"/>
      <c r="T43" s="24"/>
      <c r="U43" s="24"/>
      <c r="V43" s="24"/>
      <c r="W43" s="24"/>
      <c r="X43" s="26"/>
      <c r="Y43" s="26"/>
      <c r="Z43" s="26"/>
      <c r="AA43" s="26"/>
      <c r="AB43" s="26">
        <v>74000000</v>
      </c>
      <c r="AC43" s="26"/>
      <c r="AD43" s="26">
        <f>62217986+48013200+88261395+36141198+61747106+23700681</f>
        <v>320081566</v>
      </c>
      <c r="AE43" s="26"/>
      <c r="AF43" s="26">
        <v>0</v>
      </c>
      <c r="AG43" s="27">
        <f t="shared" si="1"/>
        <v>0.9309603968968555</v>
      </c>
      <c r="AH43" s="24">
        <f t="shared" si="24"/>
        <v>394803143</v>
      </c>
      <c r="AI43" s="24"/>
      <c r="AJ43" s="24"/>
      <c r="AK43" s="24"/>
      <c r="AL43" s="24"/>
      <c r="AM43" s="24"/>
      <c r="AN43" s="24"/>
      <c r="AO43" s="24"/>
      <c r="AP43" s="24">
        <f>+'[11]ABRIL 2020'!$Q$1852</f>
        <v>30000000</v>
      </c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>
        <f>+[4]JULIO!$AB$1675</f>
        <v>73999500</v>
      </c>
      <c r="BB43" s="24"/>
      <c r="BC43" s="24">
        <f>+[2]OCTUBRE!$AD$2090</f>
        <v>290803643</v>
      </c>
      <c r="BD43" s="24"/>
      <c r="BE43" s="24"/>
      <c r="BF43" s="27">
        <f t="shared" si="12"/>
        <v>6.9039603103144498E-2</v>
      </c>
      <c r="BG43" s="24">
        <f t="shared" si="25"/>
        <v>29278423</v>
      </c>
      <c r="BH43" s="24">
        <f t="shared" si="38"/>
        <v>0</v>
      </c>
      <c r="BI43" s="24">
        <f t="shared" si="38"/>
        <v>0</v>
      </c>
      <c r="BJ43" s="24">
        <f t="shared" si="38"/>
        <v>0</v>
      </c>
      <c r="BK43" s="24">
        <f t="shared" si="38"/>
        <v>0</v>
      </c>
      <c r="BL43" s="24">
        <f t="shared" si="38"/>
        <v>0</v>
      </c>
      <c r="BM43" s="24">
        <f t="shared" si="38"/>
        <v>0</v>
      </c>
      <c r="BN43" s="24">
        <f t="shared" si="38"/>
        <v>0</v>
      </c>
      <c r="BO43" s="24">
        <f t="shared" si="38"/>
        <v>0</v>
      </c>
      <c r="BP43" s="24">
        <f t="shared" si="38"/>
        <v>0</v>
      </c>
      <c r="BQ43" s="24">
        <f t="shared" si="38"/>
        <v>0</v>
      </c>
      <c r="BR43" s="24">
        <f t="shared" si="38"/>
        <v>0</v>
      </c>
      <c r="BS43" s="24">
        <f t="shared" si="38"/>
        <v>0</v>
      </c>
      <c r="BT43" s="24">
        <f t="shared" si="38"/>
        <v>0</v>
      </c>
      <c r="BU43" s="24">
        <f t="shared" si="38"/>
        <v>0</v>
      </c>
      <c r="BV43" s="24">
        <f t="shared" si="38"/>
        <v>0</v>
      </c>
      <c r="BW43" s="24">
        <f t="shared" si="36"/>
        <v>0</v>
      </c>
      <c r="BX43" s="24">
        <f t="shared" si="27"/>
        <v>0</v>
      </c>
      <c r="BY43" s="24">
        <f t="shared" si="27"/>
        <v>0</v>
      </c>
      <c r="BZ43" s="24">
        <f t="shared" si="27"/>
        <v>500</v>
      </c>
      <c r="CA43" s="24">
        <f t="shared" si="27"/>
        <v>0</v>
      </c>
      <c r="CB43" s="24">
        <f t="shared" si="27"/>
        <v>29277923</v>
      </c>
      <c r="CC43" s="24">
        <f t="shared" si="27"/>
        <v>0</v>
      </c>
      <c r="CD43" s="24">
        <f t="shared" si="27"/>
        <v>0</v>
      </c>
      <c r="CE43" s="27">
        <f t="shared" si="6"/>
        <v>0.54771148906764788</v>
      </c>
      <c r="CF43" s="24">
        <f t="shared" si="28"/>
        <v>232274346</v>
      </c>
      <c r="CG43" s="24"/>
      <c r="CH43" s="24"/>
      <c r="CI43" s="24"/>
      <c r="CJ43" s="24"/>
      <c r="CK43" s="24"/>
      <c r="CL43" s="24"/>
      <c r="CM43" s="24"/>
      <c r="CN43" s="24">
        <f>+[3]SEPTIEMBRE!$H$2029+[3]SEPTIEMBRE!$H$2043</f>
        <v>20000000</v>
      </c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>
        <f>+[3]SEPTIEMBRE!$H$1961+[3]SEPTIEMBRE!$H$1970+[3]SEPTIEMBRE!$H$1974+[3]SEPTIEMBRE!$H$1977+[3]SEPTIEMBRE!$H$1982+[3]SEPTIEMBRE!$H$2047</f>
        <v>49642800</v>
      </c>
      <c r="CZ43" s="24"/>
      <c r="DA43" s="24">
        <f>+[2]OCTUBRE!$H$2123+[2]OCTUBRE!$H$2126+[2]OCTUBRE!$H$2141+[2]OCTUBRE!$H$2149+[2]OCTUBRE!$H$2166+[2]OCTUBRE!$H$2183+[2]OCTUBRE!$H$2203+[2]OCTUBRE!$H$2211</f>
        <v>162631546</v>
      </c>
      <c r="DB43" s="24"/>
      <c r="DC43" s="24"/>
      <c r="DD43" s="27">
        <f t="shared" si="8"/>
        <v>0.45228851093235212</v>
      </c>
      <c r="DE43" s="24">
        <f t="shared" si="29"/>
        <v>191807220</v>
      </c>
      <c r="DF43" s="24">
        <f t="shared" si="39"/>
        <v>0</v>
      </c>
      <c r="DG43" s="24">
        <f t="shared" si="39"/>
        <v>0</v>
      </c>
      <c r="DH43" s="24">
        <f t="shared" si="39"/>
        <v>0</v>
      </c>
      <c r="DI43" s="24">
        <f t="shared" si="39"/>
        <v>0</v>
      </c>
      <c r="DJ43" s="24">
        <f t="shared" si="39"/>
        <v>0</v>
      </c>
      <c r="DK43" s="24">
        <f t="shared" si="39"/>
        <v>0</v>
      </c>
      <c r="DL43" s="24">
        <f t="shared" si="39"/>
        <v>0</v>
      </c>
      <c r="DM43" s="24">
        <f t="shared" si="39"/>
        <v>10000000</v>
      </c>
      <c r="DN43" s="24">
        <f t="shared" si="39"/>
        <v>0</v>
      </c>
      <c r="DO43" s="24">
        <f t="shared" si="39"/>
        <v>0</v>
      </c>
      <c r="DP43" s="24">
        <f t="shared" si="39"/>
        <v>0</v>
      </c>
      <c r="DQ43" s="24">
        <f t="shared" si="39"/>
        <v>0</v>
      </c>
      <c r="DR43" s="24">
        <f t="shared" si="39"/>
        <v>0</v>
      </c>
      <c r="DS43" s="24">
        <f t="shared" si="39"/>
        <v>0</v>
      </c>
      <c r="DT43" s="24">
        <f t="shared" si="39"/>
        <v>0</v>
      </c>
      <c r="DU43" s="24">
        <f t="shared" si="37"/>
        <v>0</v>
      </c>
      <c r="DV43" s="24">
        <f t="shared" si="31"/>
        <v>0</v>
      </c>
      <c r="DW43" s="24">
        <f t="shared" si="31"/>
        <v>0</v>
      </c>
      <c r="DX43" s="24">
        <f t="shared" si="31"/>
        <v>24357200</v>
      </c>
      <c r="DY43" s="24">
        <f t="shared" si="31"/>
        <v>0</v>
      </c>
      <c r="DZ43" s="24">
        <f t="shared" si="31"/>
        <v>157450020</v>
      </c>
      <c r="EA43" s="24">
        <f t="shared" si="31"/>
        <v>0</v>
      </c>
      <c r="EB43" s="24">
        <f t="shared" si="31"/>
        <v>0</v>
      </c>
      <c r="ED43" s="150"/>
      <c r="EE43" s="45">
        <f t="shared" si="32"/>
        <v>424081566</v>
      </c>
      <c r="EF43" s="45">
        <f t="shared" si="33"/>
        <v>232274346</v>
      </c>
      <c r="EG43" s="159">
        <f t="shared" si="34"/>
        <v>0.54771148906764788</v>
      </c>
    </row>
    <row r="44" spans="1:137" ht="18.600000000000001" hidden="1" customHeight="1" x14ac:dyDescent="0.25">
      <c r="A44" s="208"/>
      <c r="B44" s="228" t="s">
        <v>151</v>
      </c>
      <c r="C44" s="187" t="s">
        <v>152</v>
      </c>
      <c r="D44" s="190" t="s">
        <v>153</v>
      </c>
      <c r="E44" s="33">
        <v>410</v>
      </c>
      <c r="F44" s="192" t="s">
        <v>117</v>
      </c>
      <c r="G44" s="24">
        <f t="shared" si="23"/>
        <v>56000000</v>
      </c>
      <c r="H44" s="25">
        <f>+[7]SI!$F43</f>
        <v>56000000</v>
      </c>
      <c r="I44" s="25">
        <f t="shared" si="35"/>
        <v>0</v>
      </c>
      <c r="J44" s="24"/>
      <c r="K44" s="24"/>
      <c r="L44" s="24"/>
      <c r="M44" s="24"/>
      <c r="N44" s="24"/>
      <c r="O44" s="24"/>
      <c r="P44" s="24"/>
      <c r="Q44" s="24">
        <v>56000000</v>
      </c>
      <c r="R44" s="24"/>
      <c r="S44" s="24"/>
      <c r="T44" s="24"/>
      <c r="U44" s="24"/>
      <c r="V44" s="24"/>
      <c r="W44" s="24"/>
      <c r="X44" s="26"/>
      <c r="Y44" s="26"/>
      <c r="Z44" s="26"/>
      <c r="AA44" s="26"/>
      <c r="AB44" s="26"/>
      <c r="AC44" s="26"/>
      <c r="AD44" s="26"/>
      <c r="AE44" s="26"/>
      <c r="AF44" s="26">
        <v>0</v>
      </c>
      <c r="AG44" s="27">
        <f t="shared" si="1"/>
        <v>0.92416657142857139</v>
      </c>
      <c r="AH44" s="24">
        <f t="shared" si="24"/>
        <v>51753328</v>
      </c>
      <c r="AI44" s="24"/>
      <c r="AJ44" s="24"/>
      <c r="AK44" s="24"/>
      <c r="AL44" s="24"/>
      <c r="AM44" s="24"/>
      <c r="AN44" s="24"/>
      <c r="AO44" s="24"/>
      <c r="AP44" s="24">
        <f>+[4]JULIO!$Q$1792</f>
        <v>51753328</v>
      </c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7">
        <f t="shared" si="12"/>
        <v>7.5833428571428607E-2</v>
      </c>
      <c r="BG44" s="24">
        <f t="shared" si="25"/>
        <v>4246672</v>
      </c>
      <c r="BH44" s="24">
        <f t="shared" si="38"/>
        <v>0</v>
      </c>
      <c r="BI44" s="24">
        <f t="shared" si="38"/>
        <v>0</v>
      </c>
      <c r="BJ44" s="24">
        <f t="shared" si="38"/>
        <v>0</v>
      </c>
      <c r="BK44" s="24">
        <f t="shared" si="38"/>
        <v>0</v>
      </c>
      <c r="BL44" s="24">
        <f t="shared" si="38"/>
        <v>0</v>
      </c>
      <c r="BM44" s="24">
        <f t="shared" si="38"/>
        <v>0</v>
      </c>
      <c r="BN44" s="24">
        <f t="shared" si="38"/>
        <v>0</v>
      </c>
      <c r="BO44" s="24">
        <f t="shared" si="38"/>
        <v>4246672</v>
      </c>
      <c r="BP44" s="24">
        <f t="shared" si="38"/>
        <v>0</v>
      </c>
      <c r="BQ44" s="24">
        <f t="shared" si="38"/>
        <v>0</v>
      </c>
      <c r="BR44" s="24">
        <f t="shared" si="38"/>
        <v>0</v>
      </c>
      <c r="BS44" s="24">
        <f t="shared" si="38"/>
        <v>0</v>
      </c>
      <c r="BT44" s="24">
        <f t="shared" si="38"/>
        <v>0</v>
      </c>
      <c r="BU44" s="24">
        <f t="shared" si="38"/>
        <v>0</v>
      </c>
      <c r="BV44" s="24">
        <f t="shared" si="38"/>
        <v>0</v>
      </c>
      <c r="BW44" s="24">
        <f t="shared" si="36"/>
        <v>0</v>
      </c>
      <c r="BX44" s="24">
        <f t="shared" si="27"/>
        <v>0</v>
      </c>
      <c r="BY44" s="24">
        <f t="shared" si="27"/>
        <v>0</v>
      </c>
      <c r="BZ44" s="24">
        <f t="shared" si="27"/>
        <v>0</v>
      </c>
      <c r="CA44" s="24">
        <f t="shared" si="27"/>
        <v>0</v>
      </c>
      <c r="CB44" s="24">
        <f t="shared" si="27"/>
        <v>0</v>
      </c>
      <c r="CC44" s="24">
        <f t="shared" si="27"/>
        <v>0</v>
      </c>
      <c r="CD44" s="24">
        <f t="shared" si="27"/>
        <v>0</v>
      </c>
      <c r="CE44" s="27">
        <f t="shared" si="6"/>
        <v>0.48754157142857141</v>
      </c>
      <c r="CF44" s="24">
        <f t="shared" si="28"/>
        <v>27302328</v>
      </c>
      <c r="CG44" s="24"/>
      <c r="CH44" s="24"/>
      <c r="CI44" s="24"/>
      <c r="CJ44" s="24"/>
      <c r="CK44" s="24"/>
      <c r="CL44" s="24"/>
      <c r="CM44" s="24"/>
      <c r="CN44" s="24">
        <f>+[4]JULIO!$H$1790</f>
        <v>27302328</v>
      </c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7">
        <f t="shared" si="8"/>
        <v>0.51245842857142865</v>
      </c>
      <c r="DE44" s="24">
        <f t="shared" si="29"/>
        <v>28697672</v>
      </c>
      <c r="DF44" s="24">
        <f t="shared" si="39"/>
        <v>0</v>
      </c>
      <c r="DG44" s="24">
        <f t="shared" si="39"/>
        <v>0</v>
      </c>
      <c r="DH44" s="24">
        <f t="shared" si="39"/>
        <v>0</v>
      </c>
      <c r="DI44" s="24">
        <f t="shared" si="39"/>
        <v>0</v>
      </c>
      <c r="DJ44" s="24">
        <f t="shared" si="39"/>
        <v>0</v>
      </c>
      <c r="DK44" s="24">
        <f t="shared" si="39"/>
        <v>0</v>
      </c>
      <c r="DL44" s="24">
        <f t="shared" si="39"/>
        <v>0</v>
      </c>
      <c r="DM44" s="24">
        <f t="shared" si="39"/>
        <v>28697672</v>
      </c>
      <c r="DN44" s="24">
        <f t="shared" si="39"/>
        <v>0</v>
      </c>
      <c r="DO44" s="24">
        <f t="shared" si="39"/>
        <v>0</v>
      </c>
      <c r="DP44" s="24">
        <f t="shared" si="39"/>
        <v>0</v>
      </c>
      <c r="DQ44" s="24">
        <f t="shared" si="39"/>
        <v>0</v>
      </c>
      <c r="DR44" s="24">
        <f t="shared" si="39"/>
        <v>0</v>
      </c>
      <c r="DS44" s="24">
        <f t="shared" si="39"/>
        <v>0</v>
      </c>
      <c r="DT44" s="24">
        <f t="shared" si="39"/>
        <v>0</v>
      </c>
      <c r="DU44" s="24">
        <f t="shared" si="37"/>
        <v>0</v>
      </c>
      <c r="DV44" s="24">
        <f t="shared" si="31"/>
        <v>0</v>
      </c>
      <c r="DW44" s="24">
        <f t="shared" si="31"/>
        <v>0</v>
      </c>
      <c r="DX44" s="24">
        <f t="shared" si="31"/>
        <v>0</v>
      </c>
      <c r="DY44" s="24">
        <f t="shared" si="31"/>
        <v>0</v>
      </c>
      <c r="DZ44" s="24">
        <f t="shared" si="31"/>
        <v>0</v>
      </c>
      <c r="EA44" s="24">
        <f t="shared" si="31"/>
        <v>0</v>
      </c>
      <c r="EB44" s="24">
        <f t="shared" si="31"/>
        <v>0</v>
      </c>
      <c r="ED44" s="150"/>
      <c r="EE44" s="45">
        <f t="shared" si="32"/>
        <v>56000000</v>
      </c>
      <c r="EF44" s="45">
        <f t="shared" si="33"/>
        <v>27302328</v>
      </c>
      <c r="EG44" s="159">
        <f t="shared" si="34"/>
        <v>0.48754157142857141</v>
      </c>
    </row>
    <row r="45" spans="1:137" ht="17.45" hidden="1" customHeight="1" x14ac:dyDescent="0.25">
      <c r="A45" s="208"/>
      <c r="B45" s="229"/>
      <c r="C45" s="187" t="s">
        <v>154</v>
      </c>
      <c r="D45" s="190" t="s">
        <v>155</v>
      </c>
      <c r="E45" s="33">
        <v>410</v>
      </c>
      <c r="F45" s="192" t="s">
        <v>117</v>
      </c>
      <c r="G45" s="24">
        <f t="shared" si="23"/>
        <v>50000000</v>
      </c>
      <c r="H45" s="25">
        <f>+[7]SI!$F44</f>
        <v>50000000</v>
      </c>
      <c r="I45" s="25">
        <f t="shared" si="35"/>
        <v>0</v>
      </c>
      <c r="J45" s="24"/>
      <c r="K45" s="24"/>
      <c r="L45" s="24"/>
      <c r="M45" s="24"/>
      <c r="N45" s="24"/>
      <c r="O45" s="24"/>
      <c r="P45" s="24"/>
      <c r="Q45" s="24">
        <f>+'[12]PLAN OPERATIVO 2020 ajustes PDI'!$S$14-Q44</f>
        <v>9574140</v>
      </c>
      <c r="R45" s="24"/>
      <c r="S45" s="24"/>
      <c r="T45" s="24"/>
      <c r="U45" s="24"/>
      <c r="V45" s="24"/>
      <c r="W45" s="24"/>
      <c r="X45" s="26"/>
      <c r="Y45" s="26"/>
      <c r="Z45" s="26"/>
      <c r="AA45" s="26"/>
      <c r="AB45" s="54">
        <v>40425860</v>
      </c>
      <c r="AC45" s="26"/>
      <c r="AD45" s="26"/>
      <c r="AE45" s="26"/>
      <c r="AF45" s="26">
        <v>0</v>
      </c>
      <c r="AG45" s="27">
        <f t="shared" si="1"/>
        <v>1</v>
      </c>
      <c r="AH45" s="24">
        <f t="shared" si="24"/>
        <v>50000000</v>
      </c>
      <c r="AI45" s="24"/>
      <c r="AJ45" s="24"/>
      <c r="AK45" s="24"/>
      <c r="AL45" s="24"/>
      <c r="AM45" s="24"/>
      <c r="AN45" s="24"/>
      <c r="AO45" s="24"/>
      <c r="AP45" s="24">
        <f>+'[11]ABRIL 2020'!$Q$2339</f>
        <v>9574140</v>
      </c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>
        <f>+'[11]ABRIL 2020'!$AB$2339</f>
        <v>40425860</v>
      </c>
      <c r="BB45" s="24"/>
      <c r="BC45" s="24"/>
      <c r="BD45" s="24"/>
      <c r="BE45" s="24"/>
      <c r="BF45" s="27">
        <f t="shared" si="12"/>
        <v>0</v>
      </c>
      <c r="BG45" s="24">
        <f t="shared" si="25"/>
        <v>0</v>
      </c>
      <c r="BH45" s="24">
        <f t="shared" si="38"/>
        <v>0</v>
      </c>
      <c r="BI45" s="24">
        <f t="shared" si="38"/>
        <v>0</v>
      </c>
      <c r="BJ45" s="24">
        <f t="shared" si="38"/>
        <v>0</v>
      </c>
      <c r="BK45" s="24">
        <f t="shared" si="38"/>
        <v>0</v>
      </c>
      <c r="BL45" s="24">
        <f t="shared" si="38"/>
        <v>0</v>
      </c>
      <c r="BM45" s="24">
        <f t="shared" si="38"/>
        <v>0</v>
      </c>
      <c r="BN45" s="24">
        <f t="shared" si="38"/>
        <v>0</v>
      </c>
      <c r="BO45" s="24">
        <f t="shared" si="38"/>
        <v>0</v>
      </c>
      <c r="BP45" s="24">
        <f t="shared" si="38"/>
        <v>0</v>
      </c>
      <c r="BQ45" s="24">
        <f t="shared" si="38"/>
        <v>0</v>
      </c>
      <c r="BR45" s="24">
        <f t="shared" si="38"/>
        <v>0</v>
      </c>
      <c r="BS45" s="24">
        <f t="shared" si="38"/>
        <v>0</v>
      </c>
      <c r="BT45" s="24">
        <f t="shared" si="38"/>
        <v>0</v>
      </c>
      <c r="BU45" s="24">
        <f t="shared" si="38"/>
        <v>0</v>
      </c>
      <c r="BV45" s="24">
        <f t="shared" si="38"/>
        <v>0</v>
      </c>
      <c r="BW45" s="24">
        <f t="shared" si="36"/>
        <v>0</v>
      </c>
      <c r="BX45" s="24">
        <f t="shared" si="27"/>
        <v>0</v>
      </c>
      <c r="BY45" s="24">
        <f t="shared" si="27"/>
        <v>0</v>
      </c>
      <c r="BZ45" s="24">
        <f t="shared" si="27"/>
        <v>0</v>
      </c>
      <c r="CA45" s="24">
        <f t="shared" si="27"/>
        <v>0</v>
      </c>
      <c r="CB45" s="24">
        <f t="shared" si="27"/>
        <v>0</v>
      </c>
      <c r="CC45" s="24">
        <f t="shared" si="27"/>
        <v>0</v>
      </c>
      <c r="CD45" s="24">
        <f t="shared" si="27"/>
        <v>0</v>
      </c>
      <c r="CE45" s="27">
        <f t="shared" si="6"/>
        <v>0.24903996</v>
      </c>
      <c r="CF45" s="24">
        <f t="shared" si="28"/>
        <v>12451998</v>
      </c>
      <c r="CG45" s="24"/>
      <c r="CH45" s="24"/>
      <c r="CI45" s="24"/>
      <c r="CJ45" s="24"/>
      <c r="CK45" s="24"/>
      <c r="CL45" s="24"/>
      <c r="CM45" s="24"/>
      <c r="CN45" s="24">
        <f>+'[11]ABRIL 2020'!$H$2349</f>
        <v>9299998</v>
      </c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>
        <f>+'[11]ABRIL 2020'!$H$2344+[3]SEPTIEMBRE!$H$2121</f>
        <v>3152000</v>
      </c>
      <c r="CZ45" s="24"/>
      <c r="DA45" s="24"/>
      <c r="DB45" s="24"/>
      <c r="DC45" s="24"/>
      <c r="DD45" s="27">
        <f t="shared" si="8"/>
        <v>0.75096004000000005</v>
      </c>
      <c r="DE45" s="24">
        <f t="shared" si="29"/>
        <v>37548002</v>
      </c>
      <c r="DF45" s="24">
        <f t="shared" si="39"/>
        <v>0</v>
      </c>
      <c r="DG45" s="24">
        <f t="shared" si="39"/>
        <v>0</v>
      </c>
      <c r="DH45" s="24">
        <f t="shared" si="39"/>
        <v>0</v>
      </c>
      <c r="DI45" s="24">
        <f t="shared" si="39"/>
        <v>0</v>
      </c>
      <c r="DJ45" s="24">
        <f t="shared" si="39"/>
        <v>0</v>
      </c>
      <c r="DK45" s="24">
        <f t="shared" si="39"/>
        <v>0</v>
      </c>
      <c r="DL45" s="24">
        <f t="shared" si="39"/>
        <v>0</v>
      </c>
      <c r="DM45" s="24">
        <f t="shared" si="39"/>
        <v>274142</v>
      </c>
      <c r="DN45" s="24">
        <f t="shared" si="39"/>
        <v>0</v>
      </c>
      <c r="DO45" s="24">
        <f t="shared" si="39"/>
        <v>0</v>
      </c>
      <c r="DP45" s="24">
        <f t="shared" si="39"/>
        <v>0</v>
      </c>
      <c r="DQ45" s="24">
        <f t="shared" si="39"/>
        <v>0</v>
      </c>
      <c r="DR45" s="24">
        <f t="shared" si="39"/>
        <v>0</v>
      </c>
      <c r="DS45" s="24">
        <f t="shared" si="39"/>
        <v>0</v>
      </c>
      <c r="DT45" s="24">
        <f t="shared" si="39"/>
        <v>0</v>
      </c>
      <c r="DU45" s="24">
        <f t="shared" si="37"/>
        <v>0</v>
      </c>
      <c r="DV45" s="24">
        <f t="shared" si="31"/>
        <v>0</v>
      </c>
      <c r="DW45" s="24">
        <f t="shared" si="31"/>
        <v>0</v>
      </c>
      <c r="DX45" s="24">
        <f t="shared" si="31"/>
        <v>37273860</v>
      </c>
      <c r="DY45" s="24">
        <f t="shared" si="31"/>
        <v>0</v>
      </c>
      <c r="DZ45" s="24">
        <f t="shared" si="31"/>
        <v>0</v>
      </c>
      <c r="EA45" s="24">
        <f t="shared" si="31"/>
        <v>0</v>
      </c>
      <c r="EB45" s="24">
        <f t="shared" si="31"/>
        <v>0</v>
      </c>
      <c r="ED45" s="150"/>
      <c r="EE45" s="45">
        <f t="shared" si="32"/>
        <v>50000000</v>
      </c>
      <c r="EF45" s="45">
        <f t="shared" si="33"/>
        <v>12451998</v>
      </c>
      <c r="EG45" s="159">
        <f t="shared" si="34"/>
        <v>0.24903996</v>
      </c>
    </row>
    <row r="46" spans="1:137" ht="46.9" hidden="1" customHeight="1" x14ac:dyDescent="0.25">
      <c r="A46" s="208"/>
      <c r="B46" s="33" t="s">
        <v>156</v>
      </c>
      <c r="C46" s="187" t="s">
        <v>157</v>
      </c>
      <c r="D46" s="33" t="s">
        <v>158</v>
      </c>
      <c r="E46" s="33">
        <v>410</v>
      </c>
      <c r="F46" s="192" t="s">
        <v>117</v>
      </c>
      <c r="G46" s="24">
        <f t="shared" si="23"/>
        <v>3731019134</v>
      </c>
      <c r="H46" s="25">
        <f>+[7]SI!$F$50</f>
        <v>2200000000</v>
      </c>
      <c r="I46" s="25">
        <f t="shared" si="35"/>
        <v>-1531019134</v>
      </c>
      <c r="J46" s="24"/>
      <c r="K46" s="24"/>
      <c r="L46" s="24"/>
      <c r="M46" s="24"/>
      <c r="N46" s="24"/>
      <c r="O46" s="24"/>
      <c r="P46" s="24"/>
      <c r="Q46" s="24">
        <f>50000000</f>
        <v>50000000</v>
      </c>
      <c r="R46" s="24"/>
      <c r="S46" s="24"/>
      <c r="T46" s="24"/>
      <c r="U46" s="24"/>
      <c r="V46" s="24"/>
      <c r="W46" s="24"/>
      <c r="X46" s="26"/>
      <c r="Y46" s="26">
        <f>2000000000+150000000+1500000000</f>
        <v>3650000000</v>
      </c>
      <c r="Z46" s="26"/>
      <c r="AA46" s="26"/>
      <c r="AB46" s="26">
        <v>31019134</v>
      </c>
      <c r="AC46" s="26"/>
      <c r="AD46" s="26"/>
      <c r="AE46" s="26"/>
      <c r="AF46" s="26">
        <v>0</v>
      </c>
      <c r="AG46" s="27">
        <f t="shared" si="1"/>
        <v>0.90388214449719839</v>
      </c>
      <c r="AH46" s="24">
        <f t="shared" si="24"/>
        <v>3372401576</v>
      </c>
      <c r="AI46" s="24"/>
      <c r="AJ46" s="24"/>
      <c r="AK46" s="24"/>
      <c r="AL46" s="24"/>
      <c r="AM46" s="24"/>
      <c r="AN46" s="24"/>
      <c r="AO46" s="24"/>
      <c r="AP46" s="24">
        <f>+[2]OCTUBRE!$Q$2264</f>
        <v>36800000</v>
      </c>
      <c r="AQ46" s="24"/>
      <c r="AR46" s="24"/>
      <c r="AS46" s="24"/>
      <c r="AT46" s="24"/>
      <c r="AU46" s="24"/>
      <c r="AV46" s="24"/>
      <c r="AW46" s="24"/>
      <c r="AX46" s="24">
        <f>+[2]OCTUBRE!$Y$2264</f>
        <v>3316172938</v>
      </c>
      <c r="AY46" s="24"/>
      <c r="AZ46" s="24"/>
      <c r="BA46" s="24">
        <f>+[2]OCTUBRE!$AB$2264</f>
        <v>19428638</v>
      </c>
      <c r="BB46" s="24"/>
      <c r="BC46" s="24"/>
      <c r="BD46" s="24"/>
      <c r="BE46" s="24"/>
      <c r="BF46" s="27">
        <f t="shared" si="12"/>
        <v>9.6117855502801608E-2</v>
      </c>
      <c r="BG46" s="24">
        <f t="shared" si="25"/>
        <v>358617558</v>
      </c>
      <c r="BH46" s="24">
        <f t="shared" si="38"/>
        <v>0</v>
      </c>
      <c r="BI46" s="24">
        <f t="shared" si="38"/>
        <v>0</v>
      </c>
      <c r="BJ46" s="24">
        <f t="shared" si="38"/>
        <v>0</v>
      </c>
      <c r="BK46" s="24">
        <f t="shared" si="38"/>
        <v>0</v>
      </c>
      <c r="BL46" s="24">
        <f t="shared" si="38"/>
        <v>0</v>
      </c>
      <c r="BM46" s="24">
        <f t="shared" si="38"/>
        <v>0</v>
      </c>
      <c r="BN46" s="24">
        <f t="shared" si="38"/>
        <v>0</v>
      </c>
      <c r="BO46" s="24">
        <f t="shared" si="38"/>
        <v>13200000</v>
      </c>
      <c r="BP46" s="24">
        <f t="shared" si="38"/>
        <v>0</v>
      </c>
      <c r="BQ46" s="24">
        <f t="shared" si="38"/>
        <v>0</v>
      </c>
      <c r="BR46" s="24">
        <f t="shared" si="38"/>
        <v>0</v>
      </c>
      <c r="BS46" s="24">
        <f t="shared" si="38"/>
        <v>0</v>
      </c>
      <c r="BT46" s="24">
        <f t="shared" si="38"/>
        <v>0</v>
      </c>
      <c r="BU46" s="24">
        <f t="shared" si="38"/>
        <v>0</v>
      </c>
      <c r="BV46" s="24">
        <f t="shared" si="38"/>
        <v>0</v>
      </c>
      <c r="BW46" s="24">
        <f t="shared" si="36"/>
        <v>333827062</v>
      </c>
      <c r="BX46" s="24">
        <f t="shared" si="27"/>
        <v>0</v>
      </c>
      <c r="BY46" s="24">
        <f t="shared" si="27"/>
        <v>0</v>
      </c>
      <c r="BZ46" s="24">
        <f t="shared" si="27"/>
        <v>11590496</v>
      </c>
      <c r="CA46" s="24">
        <f t="shared" si="27"/>
        <v>0</v>
      </c>
      <c r="CB46" s="24">
        <f t="shared" si="27"/>
        <v>0</v>
      </c>
      <c r="CC46" s="24">
        <f t="shared" si="27"/>
        <v>0</v>
      </c>
      <c r="CD46" s="24">
        <f t="shared" si="27"/>
        <v>0</v>
      </c>
      <c r="CE46" s="27">
        <f t="shared" si="6"/>
        <v>0.69062167613102354</v>
      </c>
      <c r="CF46" s="24">
        <f t="shared" si="28"/>
        <v>2576722688</v>
      </c>
      <c r="CG46" s="24"/>
      <c r="CH46" s="24"/>
      <c r="CI46" s="24"/>
      <c r="CJ46" s="24"/>
      <c r="CK46" s="24"/>
      <c r="CL46" s="24"/>
      <c r="CM46" s="24"/>
      <c r="CN46" s="24">
        <f>+[2]OCTUBRE!$H$2584</f>
        <v>8799999</v>
      </c>
      <c r="CO46" s="24"/>
      <c r="CP46" s="24"/>
      <c r="CQ46" s="24"/>
      <c r="CR46" s="24"/>
      <c r="CS46" s="24"/>
      <c r="CT46" s="24"/>
      <c r="CU46" s="24"/>
      <c r="CV46" s="24">
        <f>+[2]OCTUBRE!$H$2262-CN46-CY46-DC46</f>
        <v>2537150673</v>
      </c>
      <c r="CW46" s="24"/>
      <c r="CX46" s="24"/>
      <c r="CY46" s="24">
        <f>+[2]OCTUBRE!$H$2603+[2]OCTUBRE!$H$2624+[2]OCTUBRE!$H$2641</f>
        <v>18172016</v>
      </c>
      <c r="CZ46" s="24"/>
      <c r="DA46" s="24"/>
      <c r="DB46" s="24"/>
      <c r="DC46" s="24">
        <f>+[2]OCTUBRE!$H$2705</f>
        <v>12600000</v>
      </c>
      <c r="DD46" s="27">
        <f t="shared" si="8"/>
        <v>0.30937832386897646</v>
      </c>
      <c r="DE46" s="24">
        <f t="shared" si="29"/>
        <v>1154296446</v>
      </c>
      <c r="DF46" s="24">
        <f t="shared" si="39"/>
        <v>0</v>
      </c>
      <c r="DG46" s="24">
        <f t="shared" si="39"/>
        <v>0</v>
      </c>
      <c r="DH46" s="24">
        <f t="shared" si="39"/>
        <v>0</v>
      </c>
      <c r="DI46" s="24">
        <f t="shared" si="39"/>
        <v>0</v>
      </c>
      <c r="DJ46" s="24">
        <f t="shared" si="39"/>
        <v>0</v>
      </c>
      <c r="DK46" s="24">
        <f t="shared" si="39"/>
        <v>0</v>
      </c>
      <c r="DL46" s="24">
        <f t="shared" si="39"/>
        <v>0</v>
      </c>
      <c r="DM46" s="24">
        <f t="shared" si="39"/>
        <v>41200001</v>
      </c>
      <c r="DN46" s="24">
        <f t="shared" si="39"/>
        <v>0</v>
      </c>
      <c r="DO46" s="24">
        <f t="shared" si="39"/>
        <v>0</v>
      </c>
      <c r="DP46" s="24">
        <f t="shared" si="39"/>
        <v>0</v>
      </c>
      <c r="DQ46" s="24">
        <f t="shared" si="39"/>
        <v>0</v>
      </c>
      <c r="DR46" s="24">
        <f t="shared" si="39"/>
        <v>0</v>
      </c>
      <c r="DS46" s="24">
        <f t="shared" si="39"/>
        <v>0</v>
      </c>
      <c r="DT46" s="24">
        <f t="shared" si="39"/>
        <v>0</v>
      </c>
      <c r="DU46" s="24">
        <f t="shared" si="37"/>
        <v>1112849327</v>
      </c>
      <c r="DV46" s="24">
        <f t="shared" si="31"/>
        <v>0</v>
      </c>
      <c r="DW46" s="24">
        <f t="shared" si="31"/>
        <v>0</v>
      </c>
      <c r="DX46" s="24">
        <f t="shared" si="31"/>
        <v>12847118</v>
      </c>
      <c r="DY46" s="24">
        <f t="shared" si="31"/>
        <v>0</v>
      </c>
      <c r="DZ46" s="24">
        <f t="shared" si="31"/>
        <v>0</v>
      </c>
      <c r="EA46" s="24">
        <f t="shared" si="31"/>
        <v>0</v>
      </c>
      <c r="EB46" s="24">
        <f t="shared" si="31"/>
        <v>-12600000</v>
      </c>
      <c r="ED46" s="150"/>
      <c r="EE46" s="45">
        <f t="shared" si="32"/>
        <v>3731019134</v>
      </c>
      <c r="EF46" s="45">
        <f t="shared" si="33"/>
        <v>2576722688</v>
      </c>
      <c r="EG46" s="159">
        <f t="shared" si="34"/>
        <v>0.69062167613102354</v>
      </c>
    </row>
    <row r="47" spans="1:137" ht="26.25" hidden="1" customHeight="1" x14ac:dyDescent="0.25">
      <c r="A47" s="55"/>
      <c r="B47" s="228" t="s">
        <v>159</v>
      </c>
      <c r="C47" s="187" t="s">
        <v>160</v>
      </c>
      <c r="D47" s="190" t="s">
        <v>161</v>
      </c>
      <c r="E47" s="33">
        <v>410</v>
      </c>
      <c r="F47" s="192" t="s">
        <v>162</v>
      </c>
      <c r="G47" s="24">
        <f t="shared" si="23"/>
        <v>119648137</v>
      </c>
      <c r="H47" s="25">
        <f>+[7]SI!$F56</f>
        <v>198000000</v>
      </c>
      <c r="I47" s="25">
        <f t="shared" si="35"/>
        <v>78351863</v>
      </c>
      <c r="J47" s="24"/>
      <c r="K47" s="24">
        <f>70000000+32208000-10000000</f>
        <v>92208000</v>
      </c>
      <c r="L47" s="24"/>
      <c r="M47" s="24"/>
      <c r="N47" s="24"/>
      <c r="O47" s="24"/>
      <c r="P47" s="24"/>
      <c r="Q47" s="24">
        <f>11500000</f>
        <v>11500000</v>
      </c>
      <c r="R47" s="24"/>
      <c r="S47" s="24"/>
      <c r="T47" s="24"/>
      <c r="U47" s="24"/>
      <c r="V47" s="24"/>
      <c r="W47" s="24"/>
      <c r="X47" s="26"/>
      <c r="Y47" s="26"/>
      <c r="Z47" s="26"/>
      <c r="AA47" s="26"/>
      <c r="AB47" s="26">
        <f>3340137</f>
        <v>3340137</v>
      </c>
      <c r="AC47" s="26"/>
      <c r="AD47" s="26"/>
      <c r="AE47" s="26"/>
      <c r="AF47" s="26">
        <v>12600000</v>
      </c>
      <c r="AG47" s="27">
        <f t="shared" si="1"/>
        <v>0.90388483859134383</v>
      </c>
      <c r="AH47" s="24">
        <f t="shared" si="24"/>
        <v>108148137</v>
      </c>
      <c r="AI47" s="24"/>
      <c r="AJ47" s="24">
        <f>+'[9]ENERO 2020'!$K$2156</f>
        <v>92208000</v>
      </c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>
        <f>+[4]JULIO!$AB$2052</f>
        <v>3340137</v>
      </c>
      <c r="BB47" s="24"/>
      <c r="BC47" s="24"/>
      <c r="BD47" s="24"/>
      <c r="BE47" s="24">
        <f>+'[6]MARZO 2020'!$AG$2550</f>
        <v>12600000</v>
      </c>
      <c r="BF47" s="27">
        <f t="shared" si="12"/>
        <v>9.6115161408656169E-2</v>
      </c>
      <c r="BG47" s="24">
        <f t="shared" si="25"/>
        <v>11500000</v>
      </c>
      <c r="BH47" s="24">
        <f t="shared" si="38"/>
        <v>0</v>
      </c>
      <c r="BI47" s="24">
        <f t="shared" si="38"/>
        <v>0</v>
      </c>
      <c r="BJ47" s="24">
        <f t="shared" si="38"/>
        <v>0</v>
      </c>
      <c r="BK47" s="24">
        <f t="shared" si="38"/>
        <v>0</v>
      </c>
      <c r="BL47" s="24">
        <f t="shared" si="38"/>
        <v>0</v>
      </c>
      <c r="BM47" s="24">
        <f t="shared" si="38"/>
        <v>0</v>
      </c>
      <c r="BN47" s="24">
        <f t="shared" si="38"/>
        <v>0</v>
      </c>
      <c r="BO47" s="24">
        <f t="shared" si="38"/>
        <v>11500000</v>
      </c>
      <c r="BP47" s="24">
        <f t="shared" si="38"/>
        <v>0</v>
      </c>
      <c r="BQ47" s="24">
        <f t="shared" si="38"/>
        <v>0</v>
      </c>
      <c r="BR47" s="24">
        <f t="shared" si="38"/>
        <v>0</v>
      </c>
      <c r="BS47" s="24">
        <f t="shared" si="38"/>
        <v>0</v>
      </c>
      <c r="BT47" s="24">
        <f t="shared" si="38"/>
        <v>0</v>
      </c>
      <c r="BU47" s="24">
        <f t="shared" si="38"/>
        <v>0</v>
      </c>
      <c r="BV47" s="24">
        <f t="shared" si="38"/>
        <v>0</v>
      </c>
      <c r="BW47" s="24">
        <f t="shared" si="36"/>
        <v>0</v>
      </c>
      <c r="BX47" s="24">
        <f t="shared" si="27"/>
        <v>0</v>
      </c>
      <c r="BY47" s="24">
        <f t="shared" si="27"/>
        <v>0</v>
      </c>
      <c r="BZ47" s="24">
        <f t="shared" si="27"/>
        <v>0</v>
      </c>
      <c r="CA47" s="24">
        <f t="shared" si="27"/>
        <v>0</v>
      </c>
      <c r="CB47" s="24">
        <f t="shared" si="27"/>
        <v>0</v>
      </c>
      <c r="CC47" s="24">
        <f t="shared" si="27"/>
        <v>0</v>
      </c>
      <c r="CD47" s="24">
        <f t="shared" si="27"/>
        <v>0</v>
      </c>
      <c r="CE47" s="27">
        <f t="shared" si="6"/>
        <v>0.90325527592627708</v>
      </c>
      <c r="CF47" s="24">
        <f t="shared" si="28"/>
        <v>108072811</v>
      </c>
      <c r="CG47" s="24"/>
      <c r="CH47" s="24">
        <f>+[8]AGOSTO!$H$2213+[8]AGOSTO!$H$2217+[8]AGOSTO!$H$2222+[8]AGOSTO!$H$2226+[8]AGOSTO!$H$2236</f>
        <v>92132811</v>
      </c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>
        <f>+[4]JULIO!$H$2079</f>
        <v>3340000</v>
      </c>
      <c r="CZ47" s="24"/>
      <c r="DA47" s="24"/>
      <c r="DB47" s="24"/>
      <c r="DC47" s="24">
        <f>+[4]JULIO!$H$2073</f>
        <v>12600000</v>
      </c>
      <c r="DD47" s="27">
        <f t="shared" si="8"/>
        <v>9.6744724073722921E-2</v>
      </c>
      <c r="DE47" s="24">
        <f t="shared" si="29"/>
        <v>11575326</v>
      </c>
      <c r="DF47" s="24">
        <f t="shared" si="39"/>
        <v>0</v>
      </c>
      <c r="DG47" s="24">
        <f t="shared" si="39"/>
        <v>75189</v>
      </c>
      <c r="DH47" s="24">
        <f t="shared" si="39"/>
        <v>0</v>
      </c>
      <c r="DI47" s="24">
        <f t="shared" si="39"/>
        <v>0</v>
      </c>
      <c r="DJ47" s="24">
        <f t="shared" si="39"/>
        <v>0</v>
      </c>
      <c r="DK47" s="24">
        <f t="shared" si="39"/>
        <v>0</v>
      </c>
      <c r="DL47" s="24">
        <f t="shared" si="39"/>
        <v>0</v>
      </c>
      <c r="DM47" s="24">
        <f t="shared" si="39"/>
        <v>11500000</v>
      </c>
      <c r="DN47" s="24">
        <f t="shared" si="39"/>
        <v>0</v>
      </c>
      <c r="DO47" s="24">
        <f t="shared" si="39"/>
        <v>0</v>
      </c>
      <c r="DP47" s="24">
        <f t="shared" si="39"/>
        <v>0</v>
      </c>
      <c r="DQ47" s="24">
        <f t="shared" si="39"/>
        <v>0</v>
      </c>
      <c r="DR47" s="24">
        <f t="shared" si="39"/>
        <v>0</v>
      </c>
      <c r="DS47" s="24">
        <f t="shared" si="39"/>
        <v>0</v>
      </c>
      <c r="DT47" s="24">
        <f t="shared" si="39"/>
        <v>0</v>
      </c>
      <c r="DU47" s="24">
        <f t="shared" si="37"/>
        <v>0</v>
      </c>
      <c r="DV47" s="24">
        <f t="shared" si="31"/>
        <v>0</v>
      </c>
      <c r="DW47" s="24">
        <f t="shared" si="31"/>
        <v>0</v>
      </c>
      <c r="DX47" s="24">
        <f t="shared" si="31"/>
        <v>137</v>
      </c>
      <c r="DY47" s="24">
        <f t="shared" si="31"/>
        <v>0</v>
      </c>
      <c r="DZ47" s="24">
        <f t="shared" si="31"/>
        <v>0</v>
      </c>
      <c r="EA47" s="24">
        <f t="shared" si="31"/>
        <v>0</v>
      </c>
      <c r="EB47" s="24">
        <f t="shared" si="31"/>
        <v>0</v>
      </c>
      <c r="ED47" s="150"/>
      <c r="EE47" s="45">
        <f t="shared" si="32"/>
        <v>119648137</v>
      </c>
      <c r="EF47" s="45">
        <f t="shared" si="33"/>
        <v>108072811</v>
      </c>
      <c r="EG47" s="159">
        <f t="shared" si="34"/>
        <v>0.90325527592627708</v>
      </c>
    </row>
    <row r="48" spans="1:137" ht="48" hidden="1" customHeight="1" x14ac:dyDescent="0.25">
      <c r="A48" s="55"/>
      <c r="B48" s="231"/>
      <c r="C48" s="187" t="s">
        <v>163</v>
      </c>
      <c r="D48" s="190" t="s">
        <v>164</v>
      </c>
      <c r="E48" s="33">
        <v>410</v>
      </c>
      <c r="F48" s="188" t="s">
        <v>165</v>
      </c>
      <c r="G48" s="24">
        <f t="shared" si="23"/>
        <v>197425766</v>
      </c>
      <c r="H48" s="25">
        <f>+[7]SI!$F57</f>
        <v>100000000</v>
      </c>
      <c r="I48" s="25">
        <f t="shared" si="35"/>
        <v>-97425766</v>
      </c>
      <c r="J48" s="24"/>
      <c r="K48" s="24">
        <f>60000000-32208000+10000000</f>
        <v>37792000</v>
      </c>
      <c r="L48" s="24"/>
      <c r="M48" s="24"/>
      <c r="N48" s="24"/>
      <c r="O48" s="24"/>
      <c r="P48" s="24"/>
      <c r="Q48" s="24">
        <f>13810888+30000000</f>
        <v>43810888</v>
      </c>
      <c r="R48" s="24"/>
      <c r="S48" s="24"/>
      <c r="T48" s="24"/>
      <c r="U48" s="24"/>
      <c r="V48" s="24"/>
      <c r="W48" s="24"/>
      <c r="X48" s="26"/>
      <c r="Y48" s="26"/>
      <c r="Z48" s="26"/>
      <c r="AA48" s="26"/>
      <c r="AB48" s="26">
        <v>36000000</v>
      </c>
      <c r="AC48" s="26"/>
      <c r="AD48" s="26"/>
      <c r="AE48" s="26"/>
      <c r="AF48" s="26">
        <f>59608000+214878+15000000+5000000</f>
        <v>79822878</v>
      </c>
      <c r="AG48" s="27">
        <f t="shared" si="1"/>
        <v>0.87214042264371916</v>
      </c>
      <c r="AH48" s="24">
        <f t="shared" si="24"/>
        <v>172182991</v>
      </c>
      <c r="AI48" s="24"/>
      <c r="AJ48" s="24">
        <f>+'[9]ENERO 2020'!$K$2172</f>
        <v>37792000</v>
      </c>
      <c r="AK48" s="24"/>
      <c r="AL48" s="24"/>
      <c r="AM48" s="24"/>
      <c r="AN48" s="24"/>
      <c r="AO48" s="24"/>
      <c r="AP48" s="24">
        <f>+[3]SEPTIEMBRE!$Q$2533</f>
        <v>43810888</v>
      </c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>
        <f>+[4]JULIO!$AB$2085</f>
        <v>21000000</v>
      </c>
      <c r="BB48" s="24"/>
      <c r="BC48" s="24"/>
      <c r="BD48" s="24"/>
      <c r="BE48" s="24">
        <f>+[2]OCTUBRE!$AG$2718</f>
        <v>69580103</v>
      </c>
      <c r="BF48" s="27">
        <f t="shared" si="12"/>
        <v>0.12785957735628084</v>
      </c>
      <c r="BG48" s="24">
        <f t="shared" si="25"/>
        <v>25242775</v>
      </c>
      <c r="BH48" s="24">
        <f t="shared" si="38"/>
        <v>0</v>
      </c>
      <c r="BI48" s="24">
        <f t="shared" si="38"/>
        <v>0</v>
      </c>
      <c r="BJ48" s="24">
        <f t="shared" si="38"/>
        <v>0</v>
      </c>
      <c r="BK48" s="24">
        <f t="shared" si="38"/>
        <v>0</v>
      </c>
      <c r="BL48" s="24">
        <f t="shared" si="38"/>
        <v>0</v>
      </c>
      <c r="BM48" s="24">
        <f t="shared" si="38"/>
        <v>0</v>
      </c>
      <c r="BN48" s="24">
        <f t="shared" si="38"/>
        <v>0</v>
      </c>
      <c r="BO48" s="24">
        <f t="shared" si="38"/>
        <v>0</v>
      </c>
      <c r="BP48" s="24">
        <f t="shared" si="38"/>
        <v>0</v>
      </c>
      <c r="BQ48" s="24">
        <f t="shared" si="38"/>
        <v>0</v>
      </c>
      <c r="BR48" s="24">
        <f t="shared" si="38"/>
        <v>0</v>
      </c>
      <c r="BS48" s="24">
        <f t="shared" si="38"/>
        <v>0</v>
      </c>
      <c r="BT48" s="24">
        <f t="shared" si="38"/>
        <v>0</v>
      </c>
      <c r="BU48" s="24">
        <f t="shared" si="38"/>
        <v>0</v>
      </c>
      <c r="BV48" s="24">
        <f t="shared" si="38"/>
        <v>0</v>
      </c>
      <c r="BW48" s="24">
        <f t="shared" si="36"/>
        <v>0</v>
      </c>
      <c r="BX48" s="24">
        <f t="shared" si="27"/>
        <v>0</v>
      </c>
      <c r="BY48" s="24">
        <f t="shared" si="27"/>
        <v>0</v>
      </c>
      <c r="BZ48" s="24">
        <f t="shared" si="27"/>
        <v>15000000</v>
      </c>
      <c r="CA48" s="24">
        <f t="shared" si="27"/>
        <v>0</v>
      </c>
      <c r="CB48" s="24">
        <f t="shared" si="27"/>
        <v>0</v>
      </c>
      <c r="CC48" s="24">
        <f t="shared" si="27"/>
        <v>0</v>
      </c>
      <c r="CD48" s="24">
        <f t="shared" si="27"/>
        <v>10242775</v>
      </c>
      <c r="CE48" s="27">
        <f t="shared" si="6"/>
        <v>0.63701215169655212</v>
      </c>
      <c r="CF48" s="24">
        <f t="shared" si="28"/>
        <v>125762612</v>
      </c>
      <c r="CG48" s="24"/>
      <c r="CH48" s="24">
        <f>+[2]OCTUBRE!$H$2723+[2]OCTUBRE!$H$2728+[2]OCTUBRE!$H$2742</f>
        <v>37704940</v>
      </c>
      <c r="CI48" s="24"/>
      <c r="CJ48" s="24"/>
      <c r="CK48" s="24"/>
      <c r="CL48" s="24"/>
      <c r="CM48" s="24"/>
      <c r="CN48" s="24">
        <f>+[2]OCTUBRE!$H$2739+[2]OCTUBRE!$H$2749</f>
        <v>27636602</v>
      </c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>
        <f>+[2]OCTUBRE!$H$2745</f>
        <v>19320000</v>
      </c>
      <c r="CZ48" s="24"/>
      <c r="DA48" s="24"/>
      <c r="DB48" s="24"/>
      <c r="DC48" s="24">
        <f>+[2]OCTUBRE!$H$2719+[2]OCTUBRE!$H$2736</f>
        <v>41101070</v>
      </c>
      <c r="DD48" s="27">
        <f>1-CE48</f>
        <v>0.36298784830344788</v>
      </c>
      <c r="DE48" s="24">
        <f t="shared" si="29"/>
        <v>71663154</v>
      </c>
      <c r="DF48" s="24">
        <f t="shared" si="39"/>
        <v>0</v>
      </c>
      <c r="DG48" s="24">
        <f t="shared" si="39"/>
        <v>87060</v>
      </c>
      <c r="DH48" s="24">
        <f t="shared" si="39"/>
        <v>0</v>
      </c>
      <c r="DI48" s="24">
        <f t="shared" si="39"/>
        <v>0</v>
      </c>
      <c r="DJ48" s="24">
        <f t="shared" si="39"/>
        <v>0</v>
      </c>
      <c r="DK48" s="24">
        <f t="shared" si="39"/>
        <v>0</v>
      </c>
      <c r="DL48" s="24">
        <f t="shared" si="39"/>
        <v>0</v>
      </c>
      <c r="DM48" s="24">
        <f t="shared" si="39"/>
        <v>16174286</v>
      </c>
      <c r="DN48" s="24">
        <f t="shared" si="39"/>
        <v>0</v>
      </c>
      <c r="DO48" s="24">
        <f t="shared" si="39"/>
        <v>0</v>
      </c>
      <c r="DP48" s="24">
        <f t="shared" si="39"/>
        <v>0</v>
      </c>
      <c r="DQ48" s="24">
        <f t="shared" si="39"/>
        <v>0</v>
      </c>
      <c r="DR48" s="24">
        <f t="shared" si="39"/>
        <v>0</v>
      </c>
      <c r="DS48" s="24">
        <f t="shared" si="39"/>
        <v>0</v>
      </c>
      <c r="DT48" s="24">
        <f t="shared" si="39"/>
        <v>0</v>
      </c>
      <c r="DU48" s="24">
        <f t="shared" si="37"/>
        <v>0</v>
      </c>
      <c r="DV48" s="24">
        <f t="shared" si="31"/>
        <v>0</v>
      </c>
      <c r="DW48" s="24">
        <f t="shared" si="31"/>
        <v>0</v>
      </c>
      <c r="DX48" s="24">
        <f t="shared" si="31"/>
        <v>16680000</v>
      </c>
      <c r="DY48" s="24">
        <f t="shared" si="31"/>
        <v>0</v>
      </c>
      <c r="DZ48" s="24">
        <f t="shared" si="31"/>
        <v>0</v>
      </c>
      <c r="EA48" s="24">
        <f t="shared" si="31"/>
        <v>0</v>
      </c>
      <c r="EB48" s="24">
        <f t="shared" si="31"/>
        <v>38721808</v>
      </c>
      <c r="ED48" s="150"/>
      <c r="EE48" s="45">
        <f t="shared" si="32"/>
        <v>197425766</v>
      </c>
      <c r="EF48" s="45">
        <f t="shared" si="33"/>
        <v>125762612</v>
      </c>
      <c r="EG48" s="159">
        <f t="shared" si="34"/>
        <v>0.63701215169655212</v>
      </c>
    </row>
    <row r="49" spans="1:137" ht="24.6" hidden="1" customHeight="1" x14ac:dyDescent="0.25">
      <c r="A49" s="55"/>
      <c r="B49" s="229"/>
      <c r="C49" s="187" t="s">
        <v>166</v>
      </c>
      <c r="D49" s="190" t="s">
        <v>167</v>
      </c>
      <c r="E49" s="33">
        <v>410</v>
      </c>
      <c r="F49" s="192" t="s">
        <v>168</v>
      </c>
      <c r="G49" s="24">
        <f t="shared" si="23"/>
        <v>207773050</v>
      </c>
      <c r="H49" s="25">
        <f>+[7]SI!$F58</f>
        <v>197242000</v>
      </c>
      <c r="I49" s="25">
        <f t="shared" si="35"/>
        <v>-10531050</v>
      </c>
      <c r="J49" s="24"/>
      <c r="K49" s="24">
        <v>70000000</v>
      </c>
      <c r="L49" s="24"/>
      <c r="M49" s="24"/>
      <c r="N49" s="24"/>
      <c r="O49" s="24"/>
      <c r="P49" s="24"/>
      <c r="Q49" s="24">
        <f>31000000+5919700+51402084</f>
        <v>88321784</v>
      </c>
      <c r="R49" s="24"/>
      <c r="S49" s="24"/>
      <c r="T49" s="24"/>
      <c r="U49" s="24"/>
      <c r="V49" s="24"/>
      <c r="W49" s="24"/>
      <c r="X49" s="26"/>
      <c r="Y49" s="26"/>
      <c r="Z49" s="26"/>
      <c r="AA49" s="26"/>
      <c r="AB49" s="26">
        <v>41251266</v>
      </c>
      <c r="AC49" s="26"/>
      <c r="AD49" s="26"/>
      <c r="AE49" s="26"/>
      <c r="AF49" s="26">
        <f>4000000+2200000+2000000</f>
        <v>8200000</v>
      </c>
      <c r="AG49" s="27">
        <f t="shared" si="1"/>
        <v>0.98941152377558106</v>
      </c>
      <c r="AH49" s="24">
        <f t="shared" si="24"/>
        <v>205573050</v>
      </c>
      <c r="AI49" s="24"/>
      <c r="AJ49" s="24">
        <f>+'[9]ENERO 2020'!$K$2190</f>
        <v>70000000</v>
      </c>
      <c r="AK49" s="24"/>
      <c r="AL49" s="24"/>
      <c r="AM49" s="24"/>
      <c r="AN49" s="24"/>
      <c r="AO49" s="24"/>
      <c r="AP49" s="24">
        <f>+[2]OCTUBRE!$Q$2757</f>
        <v>88321784</v>
      </c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>
        <f>+[4]JULIO!$AB$2116</f>
        <v>41251266</v>
      </c>
      <c r="BB49" s="24"/>
      <c r="BC49" s="24"/>
      <c r="BD49" s="24"/>
      <c r="BE49" s="24">
        <f>+[2]OCTUBRE!$AG$2757</f>
        <v>6000000</v>
      </c>
      <c r="BF49" s="27">
        <f t="shared" si="12"/>
        <v>1.0588476224418941E-2</v>
      </c>
      <c r="BG49" s="24">
        <f t="shared" si="25"/>
        <v>2200000</v>
      </c>
      <c r="BH49" s="24">
        <f t="shared" si="38"/>
        <v>0</v>
      </c>
      <c r="BI49" s="24">
        <f t="shared" si="38"/>
        <v>0</v>
      </c>
      <c r="BJ49" s="24">
        <f t="shared" si="38"/>
        <v>0</v>
      </c>
      <c r="BK49" s="24">
        <f t="shared" si="38"/>
        <v>0</v>
      </c>
      <c r="BL49" s="24">
        <f t="shared" si="38"/>
        <v>0</v>
      </c>
      <c r="BM49" s="24">
        <f t="shared" si="38"/>
        <v>0</v>
      </c>
      <c r="BN49" s="24">
        <f t="shared" si="38"/>
        <v>0</v>
      </c>
      <c r="BO49" s="24">
        <f t="shared" si="38"/>
        <v>0</v>
      </c>
      <c r="BP49" s="24">
        <f t="shared" si="38"/>
        <v>0</v>
      </c>
      <c r="BQ49" s="24">
        <f t="shared" si="38"/>
        <v>0</v>
      </c>
      <c r="BR49" s="24">
        <f t="shared" si="38"/>
        <v>0</v>
      </c>
      <c r="BS49" s="24">
        <f t="shared" si="38"/>
        <v>0</v>
      </c>
      <c r="BT49" s="24">
        <f t="shared" si="38"/>
        <v>0</v>
      </c>
      <c r="BU49" s="24">
        <f t="shared" si="38"/>
        <v>0</v>
      </c>
      <c r="BV49" s="24">
        <f t="shared" si="38"/>
        <v>0</v>
      </c>
      <c r="BW49" s="24">
        <f t="shared" si="36"/>
        <v>0</v>
      </c>
      <c r="BX49" s="24">
        <f t="shared" si="27"/>
        <v>0</v>
      </c>
      <c r="BY49" s="24">
        <f t="shared" si="27"/>
        <v>0</v>
      </c>
      <c r="BZ49" s="24">
        <f t="shared" si="27"/>
        <v>0</v>
      </c>
      <c r="CA49" s="24">
        <f t="shared" si="27"/>
        <v>0</v>
      </c>
      <c r="CB49" s="24">
        <f t="shared" si="27"/>
        <v>0</v>
      </c>
      <c r="CC49" s="24">
        <f t="shared" si="27"/>
        <v>0</v>
      </c>
      <c r="CD49" s="24">
        <f t="shared" si="27"/>
        <v>2200000</v>
      </c>
      <c r="CE49" s="27">
        <f t="shared" si="6"/>
        <v>0.49488203595220842</v>
      </c>
      <c r="CF49" s="24">
        <f t="shared" si="28"/>
        <v>102823150</v>
      </c>
      <c r="CG49" s="24"/>
      <c r="CH49" s="24">
        <f>+[2]OCTUBRE!$H$2758+[2]OCTUBRE!$H$2777</f>
        <v>65626050</v>
      </c>
      <c r="CI49" s="24"/>
      <c r="CJ49" s="24"/>
      <c r="CK49" s="24"/>
      <c r="CL49" s="24"/>
      <c r="CM49" s="24"/>
      <c r="CN49" s="24">
        <f>+[2]OCTUBRE!$H$2796</f>
        <v>26520000</v>
      </c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>
        <f>+[2]OCTUBRE!$H$2802</f>
        <v>7557100</v>
      </c>
      <c r="CZ49" s="24"/>
      <c r="DA49" s="24"/>
      <c r="DB49" s="24"/>
      <c r="DC49" s="24">
        <f>+[2]OCTUBRE!$H$2791</f>
        <v>3120000</v>
      </c>
      <c r="DD49" s="27">
        <f t="shared" si="8"/>
        <v>0.50511796404779163</v>
      </c>
      <c r="DE49" s="24">
        <f t="shared" si="29"/>
        <v>104949900</v>
      </c>
      <c r="DF49" s="24">
        <f t="shared" si="39"/>
        <v>0</v>
      </c>
      <c r="DG49" s="24">
        <f t="shared" si="39"/>
        <v>4373950</v>
      </c>
      <c r="DH49" s="24">
        <f t="shared" si="39"/>
        <v>0</v>
      </c>
      <c r="DI49" s="24">
        <f t="shared" si="39"/>
        <v>0</v>
      </c>
      <c r="DJ49" s="24">
        <f t="shared" si="39"/>
        <v>0</v>
      </c>
      <c r="DK49" s="24">
        <f t="shared" si="39"/>
        <v>0</v>
      </c>
      <c r="DL49" s="24">
        <f t="shared" si="39"/>
        <v>0</v>
      </c>
      <c r="DM49" s="24">
        <f t="shared" si="39"/>
        <v>61801784</v>
      </c>
      <c r="DN49" s="24">
        <f t="shared" si="39"/>
        <v>0</v>
      </c>
      <c r="DO49" s="24">
        <f t="shared" si="39"/>
        <v>0</v>
      </c>
      <c r="DP49" s="24">
        <f t="shared" si="39"/>
        <v>0</v>
      </c>
      <c r="DQ49" s="24">
        <f t="shared" si="39"/>
        <v>0</v>
      </c>
      <c r="DR49" s="24">
        <f t="shared" si="39"/>
        <v>0</v>
      </c>
      <c r="DS49" s="24">
        <f t="shared" si="39"/>
        <v>0</v>
      </c>
      <c r="DT49" s="24">
        <f t="shared" si="39"/>
        <v>0</v>
      </c>
      <c r="DU49" s="24">
        <f t="shared" si="37"/>
        <v>0</v>
      </c>
      <c r="DV49" s="24">
        <f t="shared" si="31"/>
        <v>0</v>
      </c>
      <c r="DW49" s="24">
        <f t="shared" si="31"/>
        <v>0</v>
      </c>
      <c r="DX49" s="24">
        <f t="shared" si="31"/>
        <v>33694166</v>
      </c>
      <c r="DY49" s="24">
        <f t="shared" si="31"/>
        <v>0</v>
      </c>
      <c r="DZ49" s="24">
        <f t="shared" si="31"/>
        <v>0</v>
      </c>
      <c r="EA49" s="24">
        <f t="shared" si="31"/>
        <v>0</v>
      </c>
      <c r="EB49" s="24">
        <f t="shared" si="31"/>
        <v>5080000</v>
      </c>
      <c r="ED49" s="150"/>
      <c r="EE49" s="45">
        <f t="shared" si="32"/>
        <v>207773050</v>
      </c>
      <c r="EF49" s="45">
        <f t="shared" si="33"/>
        <v>102823150</v>
      </c>
      <c r="EG49" s="159">
        <f t="shared" si="34"/>
        <v>0.49488203595220842</v>
      </c>
    </row>
    <row r="50" spans="1:137" s="44" customFormat="1" ht="17.45" customHeight="1" thickTop="1" thickBot="1" x14ac:dyDescent="0.3">
      <c r="A50" s="56"/>
      <c r="B50" s="258" t="s">
        <v>169</v>
      </c>
      <c r="C50" s="258"/>
      <c r="D50" s="258"/>
      <c r="E50" s="258"/>
      <c r="F50" s="193"/>
      <c r="G50" s="58">
        <f t="shared" ref="G50:AF50" si="40">SUM(G25:G49)</f>
        <v>7636534557</v>
      </c>
      <c r="H50" s="58">
        <f t="shared" si="40"/>
        <v>8545602000</v>
      </c>
      <c r="I50" s="58">
        <f t="shared" si="40"/>
        <v>909067443</v>
      </c>
      <c r="J50" s="58">
        <f t="shared" si="40"/>
        <v>0</v>
      </c>
      <c r="K50" s="58">
        <f t="shared" si="40"/>
        <v>200000000</v>
      </c>
      <c r="L50" s="58">
        <f t="shared" si="40"/>
        <v>0</v>
      </c>
      <c r="M50" s="58">
        <f t="shared" si="40"/>
        <v>0</v>
      </c>
      <c r="N50" s="58">
        <f t="shared" si="40"/>
        <v>0</v>
      </c>
      <c r="O50" s="58">
        <f t="shared" si="40"/>
        <v>0</v>
      </c>
      <c r="P50" s="58">
        <f t="shared" si="40"/>
        <v>0</v>
      </c>
      <c r="Q50" s="58">
        <f t="shared" si="40"/>
        <v>1976753328</v>
      </c>
      <c r="R50" s="58">
        <f t="shared" si="40"/>
        <v>90000000</v>
      </c>
      <c r="S50" s="58">
        <f t="shared" si="40"/>
        <v>116000000</v>
      </c>
      <c r="T50" s="58">
        <f t="shared" si="40"/>
        <v>120134741</v>
      </c>
      <c r="U50" s="58">
        <f t="shared" si="40"/>
        <v>0</v>
      </c>
      <c r="V50" s="58">
        <f t="shared" si="40"/>
        <v>0</v>
      </c>
      <c r="W50" s="58">
        <f t="shared" si="40"/>
        <v>0</v>
      </c>
      <c r="X50" s="58">
        <f t="shared" si="40"/>
        <v>0</v>
      </c>
      <c r="Y50" s="58">
        <f t="shared" si="40"/>
        <v>3650000000</v>
      </c>
      <c r="Z50" s="58">
        <f t="shared" si="40"/>
        <v>0</v>
      </c>
      <c r="AA50" s="58">
        <f t="shared" si="40"/>
        <v>0</v>
      </c>
      <c r="AB50" s="58">
        <f t="shared" si="40"/>
        <v>758667215</v>
      </c>
      <c r="AC50" s="58">
        <f t="shared" si="40"/>
        <v>0</v>
      </c>
      <c r="AD50" s="58">
        <f t="shared" si="40"/>
        <v>320081566</v>
      </c>
      <c r="AE50" s="58">
        <f t="shared" si="40"/>
        <v>0</v>
      </c>
      <c r="AF50" s="58">
        <f t="shared" si="40"/>
        <v>404897707</v>
      </c>
      <c r="AG50" s="59">
        <f t="shared" si="1"/>
        <v>0.88538503722245387</v>
      </c>
      <c r="AH50" s="58">
        <f>SUM(AH25:AH49)</f>
        <v>6761273433</v>
      </c>
      <c r="AI50" s="58">
        <f t="shared" ref="AI50:CT50" si="41">SUM(AI25:AI49)</f>
        <v>0</v>
      </c>
      <c r="AJ50" s="58">
        <f t="shared" si="41"/>
        <v>200000000</v>
      </c>
      <c r="AK50" s="58">
        <f t="shared" si="41"/>
        <v>0</v>
      </c>
      <c r="AL50" s="58">
        <f t="shared" si="41"/>
        <v>0</v>
      </c>
      <c r="AM50" s="58">
        <f t="shared" si="41"/>
        <v>0</v>
      </c>
      <c r="AN50" s="58">
        <f t="shared" si="41"/>
        <v>0</v>
      </c>
      <c r="AO50" s="58">
        <f t="shared" si="41"/>
        <v>0</v>
      </c>
      <c r="AP50" s="58">
        <f t="shared" si="41"/>
        <v>1807596656</v>
      </c>
      <c r="AQ50" s="58">
        <f t="shared" si="41"/>
        <v>60000000</v>
      </c>
      <c r="AR50" s="58">
        <f t="shared" si="41"/>
        <v>80000000</v>
      </c>
      <c r="AS50" s="58">
        <f t="shared" si="41"/>
        <v>105134741</v>
      </c>
      <c r="AT50" s="58">
        <f t="shared" si="41"/>
        <v>0</v>
      </c>
      <c r="AU50" s="58">
        <f t="shared" si="41"/>
        <v>0</v>
      </c>
      <c r="AV50" s="58">
        <f t="shared" si="41"/>
        <v>0</v>
      </c>
      <c r="AW50" s="58">
        <f t="shared" si="41"/>
        <v>0</v>
      </c>
      <c r="AX50" s="58">
        <f t="shared" si="41"/>
        <v>3316172938</v>
      </c>
      <c r="AY50" s="58">
        <f t="shared" si="41"/>
        <v>0</v>
      </c>
      <c r="AZ50" s="58">
        <f t="shared" si="41"/>
        <v>0</v>
      </c>
      <c r="BA50" s="58">
        <f t="shared" si="41"/>
        <v>641764646</v>
      </c>
      <c r="BB50" s="58">
        <f t="shared" si="41"/>
        <v>0</v>
      </c>
      <c r="BC50" s="58">
        <f t="shared" si="41"/>
        <v>290803643</v>
      </c>
      <c r="BD50" s="58">
        <f t="shared" si="41"/>
        <v>0</v>
      </c>
      <c r="BE50" s="58">
        <f t="shared" si="41"/>
        <v>259800809</v>
      </c>
      <c r="BF50" s="59">
        <f t="shared" si="12"/>
        <v>0.11461496277754613</v>
      </c>
      <c r="BG50" s="58">
        <f t="shared" si="41"/>
        <v>875261124</v>
      </c>
      <c r="BH50" s="58">
        <f t="shared" si="41"/>
        <v>0</v>
      </c>
      <c r="BI50" s="58">
        <f t="shared" si="41"/>
        <v>0</v>
      </c>
      <c r="BJ50" s="58">
        <f t="shared" si="41"/>
        <v>0</v>
      </c>
      <c r="BK50" s="58">
        <f t="shared" si="41"/>
        <v>0</v>
      </c>
      <c r="BL50" s="58">
        <f t="shared" si="41"/>
        <v>0</v>
      </c>
      <c r="BM50" s="58">
        <f t="shared" si="41"/>
        <v>0</v>
      </c>
      <c r="BN50" s="58">
        <f t="shared" si="41"/>
        <v>0</v>
      </c>
      <c r="BO50" s="58">
        <f t="shared" si="41"/>
        <v>169156672</v>
      </c>
      <c r="BP50" s="58">
        <f t="shared" si="41"/>
        <v>30000000</v>
      </c>
      <c r="BQ50" s="58">
        <f t="shared" si="41"/>
        <v>36000000</v>
      </c>
      <c r="BR50" s="58">
        <f t="shared" si="41"/>
        <v>15000000</v>
      </c>
      <c r="BS50" s="58">
        <f t="shared" si="41"/>
        <v>0</v>
      </c>
      <c r="BT50" s="58">
        <f t="shared" si="41"/>
        <v>0</v>
      </c>
      <c r="BU50" s="58">
        <f t="shared" si="41"/>
        <v>0</v>
      </c>
      <c r="BV50" s="58">
        <f t="shared" si="41"/>
        <v>0</v>
      </c>
      <c r="BW50" s="58">
        <f t="shared" si="41"/>
        <v>333827062</v>
      </c>
      <c r="BX50" s="58">
        <f t="shared" si="41"/>
        <v>0</v>
      </c>
      <c r="BY50" s="58">
        <f t="shared" si="41"/>
        <v>0</v>
      </c>
      <c r="BZ50" s="58">
        <f t="shared" si="41"/>
        <v>116902569</v>
      </c>
      <c r="CA50" s="58">
        <f t="shared" si="41"/>
        <v>0</v>
      </c>
      <c r="CB50" s="58">
        <f t="shared" si="41"/>
        <v>29277923</v>
      </c>
      <c r="CC50" s="58">
        <f t="shared" si="41"/>
        <v>0</v>
      </c>
      <c r="CD50" s="58">
        <f t="shared" si="41"/>
        <v>145096898</v>
      </c>
      <c r="CE50" s="59">
        <f t="shared" si="6"/>
        <v>0.55515217843333597</v>
      </c>
      <c r="CF50" s="58">
        <f t="shared" si="41"/>
        <v>4239438795</v>
      </c>
      <c r="CG50" s="58">
        <f t="shared" si="41"/>
        <v>0</v>
      </c>
      <c r="CH50" s="58">
        <f t="shared" si="41"/>
        <v>195463801</v>
      </c>
      <c r="CI50" s="58">
        <f t="shared" si="41"/>
        <v>0</v>
      </c>
      <c r="CJ50" s="58">
        <f t="shared" si="41"/>
        <v>0</v>
      </c>
      <c r="CK50" s="58">
        <f t="shared" si="41"/>
        <v>0</v>
      </c>
      <c r="CL50" s="58">
        <f t="shared" si="41"/>
        <v>0</v>
      </c>
      <c r="CM50" s="58">
        <f t="shared" si="41"/>
        <v>0</v>
      </c>
      <c r="CN50" s="58">
        <f t="shared" si="41"/>
        <v>773259571</v>
      </c>
      <c r="CO50" s="58">
        <f t="shared" si="41"/>
        <v>10324460</v>
      </c>
      <c r="CP50" s="58">
        <f t="shared" si="41"/>
        <v>11708860</v>
      </c>
      <c r="CQ50" s="58">
        <f t="shared" si="41"/>
        <v>15300150</v>
      </c>
      <c r="CR50" s="58">
        <f t="shared" si="41"/>
        <v>0</v>
      </c>
      <c r="CS50" s="58">
        <f t="shared" si="41"/>
        <v>0</v>
      </c>
      <c r="CT50" s="58">
        <f t="shared" si="41"/>
        <v>0</v>
      </c>
      <c r="CU50" s="58">
        <f t="shared" ref="CU50:EB50" si="42">SUM(CU25:CU49)</f>
        <v>0</v>
      </c>
      <c r="CV50" s="58">
        <f t="shared" si="42"/>
        <v>2537150673</v>
      </c>
      <c r="CW50" s="58">
        <f t="shared" si="42"/>
        <v>0</v>
      </c>
      <c r="CX50" s="58">
        <f t="shared" si="42"/>
        <v>0</v>
      </c>
      <c r="CY50" s="58">
        <f t="shared" si="42"/>
        <v>415281549</v>
      </c>
      <c r="CZ50" s="58">
        <f t="shared" si="42"/>
        <v>0</v>
      </c>
      <c r="DA50" s="58">
        <f t="shared" si="42"/>
        <v>162631546</v>
      </c>
      <c r="DB50" s="58">
        <f t="shared" si="42"/>
        <v>0</v>
      </c>
      <c r="DC50" s="58">
        <f t="shared" si="42"/>
        <v>118318185</v>
      </c>
      <c r="DD50" s="59">
        <f t="shared" si="8"/>
        <v>0.44484782156666403</v>
      </c>
      <c r="DE50" s="58">
        <f t="shared" si="42"/>
        <v>3397095762</v>
      </c>
      <c r="DF50" s="58">
        <f t="shared" si="42"/>
        <v>0</v>
      </c>
      <c r="DG50" s="58">
        <f t="shared" si="42"/>
        <v>4536199</v>
      </c>
      <c r="DH50" s="58">
        <f t="shared" si="42"/>
        <v>0</v>
      </c>
      <c r="DI50" s="58">
        <f t="shared" si="42"/>
        <v>0</v>
      </c>
      <c r="DJ50" s="58">
        <f t="shared" si="42"/>
        <v>0</v>
      </c>
      <c r="DK50" s="58">
        <f t="shared" si="42"/>
        <v>0</v>
      </c>
      <c r="DL50" s="58">
        <f t="shared" si="42"/>
        <v>0</v>
      </c>
      <c r="DM50" s="58">
        <f t="shared" si="42"/>
        <v>1203493757</v>
      </c>
      <c r="DN50" s="58">
        <f t="shared" si="42"/>
        <v>79675540</v>
      </c>
      <c r="DO50" s="58">
        <f t="shared" si="42"/>
        <v>104291140</v>
      </c>
      <c r="DP50" s="58">
        <f t="shared" si="42"/>
        <v>104834591</v>
      </c>
      <c r="DQ50" s="58">
        <f t="shared" si="42"/>
        <v>0</v>
      </c>
      <c r="DR50" s="58">
        <f t="shared" si="42"/>
        <v>0</v>
      </c>
      <c r="DS50" s="58">
        <f t="shared" si="42"/>
        <v>0</v>
      </c>
      <c r="DT50" s="58">
        <f t="shared" si="42"/>
        <v>0</v>
      </c>
      <c r="DU50" s="58">
        <f t="shared" si="42"/>
        <v>1112849327</v>
      </c>
      <c r="DV50" s="58">
        <f t="shared" si="42"/>
        <v>0</v>
      </c>
      <c r="DW50" s="58">
        <f t="shared" si="42"/>
        <v>0</v>
      </c>
      <c r="DX50" s="58">
        <f t="shared" si="42"/>
        <v>343385666</v>
      </c>
      <c r="DY50" s="58">
        <f t="shared" si="42"/>
        <v>0</v>
      </c>
      <c r="DZ50" s="58">
        <f t="shared" si="42"/>
        <v>157450020</v>
      </c>
      <c r="EA50" s="58">
        <f t="shared" si="42"/>
        <v>0</v>
      </c>
      <c r="EB50" s="58">
        <f t="shared" si="42"/>
        <v>286579522</v>
      </c>
      <c r="ED50" s="151" t="s">
        <v>382</v>
      </c>
      <c r="EE50" s="45">
        <f t="shared" si="32"/>
        <v>7636534557</v>
      </c>
      <c r="EF50" s="45">
        <f t="shared" si="33"/>
        <v>4239438795</v>
      </c>
      <c r="EG50" s="159">
        <f t="shared" si="34"/>
        <v>0.55515217843333597</v>
      </c>
    </row>
    <row r="51" spans="1:137" ht="27.75" hidden="1" customHeight="1" thickTop="1" x14ac:dyDescent="0.25">
      <c r="A51" s="232" t="s">
        <v>170</v>
      </c>
      <c r="B51" s="234" t="s">
        <v>171</v>
      </c>
      <c r="C51" s="194" t="s">
        <v>172</v>
      </c>
      <c r="D51" s="190" t="s">
        <v>173</v>
      </c>
      <c r="E51" s="195">
        <v>520</v>
      </c>
      <c r="F51" s="192" t="s">
        <v>168</v>
      </c>
      <c r="G51" s="24">
        <f t="shared" ref="G51:G76" si="43">SUM(J51:AF51)</f>
        <v>31479049</v>
      </c>
      <c r="H51" s="25">
        <f>+[13]SP!$F5</f>
        <v>30000000</v>
      </c>
      <c r="I51" s="25">
        <f>+H51-G51</f>
        <v>-1479049</v>
      </c>
      <c r="J51" s="24"/>
      <c r="K51" s="24">
        <v>20674107</v>
      </c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6">
        <f>26000000+10000000-15195058-10000000</f>
        <v>10804942</v>
      </c>
      <c r="AG51" s="48">
        <f t="shared" si="1"/>
        <v>1</v>
      </c>
      <c r="AH51" s="49">
        <f t="shared" ref="AH51:AH114" si="44">SUM(AI51:BE51)</f>
        <v>31479049</v>
      </c>
      <c r="AI51" s="24"/>
      <c r="AJ51" s="49">
        <f>+[3]SEPTIEMBRE!$K$3148</f>
        <v>20674107</v>
      </c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/>
      <c r="AW51" s="49"/>
      <c r="AX51" s="49"/>
      <c r="AY51" s="49"/>
      <c r="AZ51" s="49"/>
      <c r="BA51" s="49"/>
      <c r="BB51" s="49"/>
      <c r="BC51" s="49"/>
      <c r="BD51" s="49"/>
      <c r="BE51" s="49">
        <f>+'[5]FEBRERO 2020'!$AG$3380</f>
        <v>10804942</v>
      </c>
      <c r="BF51" s="48">
        <f t="shared" si="12"/>
        <v>0</v>
      </c>
      <c r="BG51" s="24">
        <f t="shared" ref="BG51:BG76" si="45">SUM(BH51:CD51)</f>
        <v>0</v>
      </c>
      <c r="BH51" s="24">
        <f t="shared" ref="BH51:BW66" si="46">+J51-AI51</f>
        <v>0</v>
      </c>
      <c r="BI51" s="24">
        <f t="shared" si="46"/>
        <v>0</v>
      </c>
      <c r="BJ51" s="24">
        <f t="shared" si="46"/>
        <v>0</v>
      </c>
      <c r="BK51" s="24">
        <f t="shared" si="46"/>
        <v>0</v>
      </c>
      <c r="BL51" s="24">
        <f t="shared" si="46"/>
        <v>0</v>
      </c>
      <c r="BM51" s="24">
        <f t="shared" si="46"/>
        <v>0</v>
      </c>
      <c r="BN51" s="24">
        <f t="shared" si="46"/>
        <v>0</v>
      </c>
      <c r="BO51" s="24">
        <f t="shared" si="46"/>
        <v>0</v>
      </c>
      <c r="BP51" s="24">
        <f t="shared" si="46"/>
        <v>0</v>
      </c>
      <c r="BQ51" s="24">
        <f t="shared" si="46"/>
        <v>0</v>
      </c>
      <c r="BR51" s="24">
        <f t="shared" si="46"/>
        <v>0</v>
      </c>
      <c r="BS51" s="24">
        <f t="shared" si="46"/>
        <v>0</v>
      </c>
      <c r="BT51" s="24">
        <f t="shared" si="46"/>
        <v>0</v>
      </c>
      <c r="BU51" s="24">
        <f t="shared" si="46"/>
        <v>0</v>
      </c>
      <c r="BV51" s="24">
        <f t="shared" si="46"/>
        <v>0</v>
      </c>
      <c r="BW51" s="24">
        <f t="shared" si="46"/>
        <v>0</v>
      </c>
      <c r="BX51" s="24">
        <f t="shared" ref="BX51:CD76" si="47">+Z51-AY51</f>
        <v>0</v>
      </c>
      <c r="BY51" s="24">
        <f t="shared" si="47"/>
        <v>0</v>
      </c>
      <c r="BZ51" s="24">
        <f t="shared" si="47"/>
        <v>0</v>
      </c>
      <c r="CA51" s="24">
        <f t="shared" si="47"/>
        <v>0</v>
      </c>
      <c r="CB51" s="24">
        <f t="shared" si="47"/>
        <v>0</v>
      </c>
      <c r="CC51" s="24">
        <f t="shared" si="47"/>
        <v>0</v>
      </c>
      <c r="CD51" s="24">
        <f t="shared" si="47"/>
        <v>0</v>
      </c>
      <c r="CE51" s="48">
        <f t="shared" ref="CE51:CE114" si="48">CF51/G51</f>
        <v>0.79799656590642243</v>
      </c>
      <c r="CF51" s="24">
        <f t="shared" ref="CF51:CF114" si="49">SUM(CG51:DC51)</f>
        <v>25120173</v>
      </c>
      <c r="CG51" s="24"/>
      <c r="CH51" s="24">
        <f>+[3]SEPTIEMBRE!$H$3155+[3]SEPTIEMBRE!$H$3159+[2]OCTUBRE!$H$3356</f>
        <v>14608564</v>
      </c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>
        <f>+'[5]FEBRERO 2020'!$H$3378</f>
        <v>10511609</v>
      </c>
      <c r="DD51" s="27">
        <f t="shared" si="8"/>
        <v>0.20200343409357757</v>
      </c>
      <c r="DE51" s="24">
        <f t="shared" ref="DE51:DE96" si="50">SUM(DF51:EB51)</f>
        <v>6358876</v>
      </c>
      <c r="DF51" s="24">
        <f t="shared" ref="DF51:DU66" si="51">+J51-CG51</f>
        <v>0</v>
      </c>
      <c r="DG51" s="24">
        <f t="shared" si="51"/>
        <v>6065543</v>
      </c>
      <c r="DH51" s="24">
        <f t="shared" si="51"/>
        <v>0</v>
      </c>
      <c r="DI51" s="24">
        <f t="shared" si="51"/>
        <v>0</v>
      </c>
      <c r="DJ51" s="24">
        <f t="shared" si="51"/>
        <v>0</v>
      </c>
      <c r="DK51" s="24">
        <f t="shared" si="51"/>
        <v>0</v>
      </c>
      <c r="DL51" s="24">
        <f t="shared" si="51"/>
        <v>0</v>
      </c>
      <c r="DM51" s="24">
        <f t="shared" si="51"/>
        <v>0</v>
      </c>
      <c r="DN51" s="24">
        <f t="shared" si="51"/>
        <v>0</v>
      </c>
      <c r="DO51" s="24">
        <f t="shared" si="51"/>
        <v>0</v>
      </c>
      <c r="DP51" s="24">
        <f t="shared" si="51"/>
        <v>0</v>
      </c>
      <c r="DQ51" s="24">
        <f t="shared" si="51"/>
        <v>0</v>
      </c>
      <c r="DR51" s="24">
        <f t="shared" si="51"/>
        <v>0</v>
      </c>
      <c r="DS51" s="24">
        <f t="shared" si="51"/>
        <v>0</v>
      </c>
      <c r="DT51" s="24">
        <f t="shared" si="51"/>
        <v>0</v>
      </c>
      <c r="DU51" s="24">
        <f t="shared" si="51"/>
        <v>0</v>
      </c>
      <c r="DV51" s="24">
        <f t="shared" ref="DV51:EB76" si="52">+Z51-CW51</f>
        <v>0</v>
      </c>
      <c r="DW51" s="24">
        <f t="shared" si="52"/>
        <v>0</v>
      </c>
      <c r="DX51" s="24">
        <f t="shared" si="52"/>
        <v>0</v>
      </c>
      <c r="DY51" s="24">
        <f t="shared" si="52"/>
        <v>0</v>
      </c>
      <c r="DZ51" s="24">
        <f t="shared" si="52"/>
        <v>0</v>
      </c>
      <c r="EA51" s="24">
        <f t="shared" si="52"/>
        <v>0</v>
      </c>
      <c r="EB51" s="24">
        <f t="shared" si="52"/>
        <v>293333</v>
      </c>
      <c r="ED51" s="150"/>
      <c r="EE51" s="45">
        <f t="shared" si="32"/>
        <v>31479049</v>
      </c>
      <c r="EF51" s="45">
        <f t="shared" si="33"/>
        <v>25120173</v>
      </c>
      <c r="EG51" s="159">
        <f t="shared" si="34"/>
        <v>0.79799656590642243</v>
      </c>
    </row>
    <row r="52" spans="1:137" ht="24.75" hidden="1" customHeight="1" x14ac:dyDescent="0.25">
      <c r="A52" s="233"/>
      <c r="B52" s="231"/>
      <c r="C52" s="189" t="s">
        <v>174</v>
      </c>
      <c r="D52" s="190" t="s">
        <v>175</v>
      </c>
      <c r="E52" s="33">
        <v>520</v>
      </c>
      <c r="F52" s="188" t="s">
        <v>176</v>
      </c>
      <c r="G52" s="24">
        <f t="shared" si="43"/>
        <v>88100000</v>
      </c>
      <c r="H52" s="25">
        <f>+[13]SP!$F6</f>
        <v>70000000</v>
      </c>
      <c r="I52" s="25">
        <f t="shared" ref="I52:I76" si="53">+H52-G52</f>
        <v>-18100000</v>
      </c>
      <c r="J52" s="24"/>
      <c r="K52" s="24">
        <f>66500000+3500000+13100000</f>
        <v>83100000</v>
      </c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6">
        <v>5000000</v>
      </c>
      <c r="AG52" s="27">
        <f t="shared" si="1"/>
        <v>0.94324631101021561</v>
      </c>
      <c r="AH52" s="24">
        <f t="shared" si="44"/>
        <v>83100000</v>
      </c>
      <c r="AI52" s="24"/>
      <c r="AJ52" s="24">
        <f>+[3]SEPTIEMBRE!$K$3164</f>
        <v>83100000</v>
      </c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7">
        <f t="shared" si="12"/>
        <v>5.675368898978439E-2</v>
      </c>
      <c r="BG52" s="24">
        <f t="shared" si="45"/>
        <v>5000000</v>
      </c>
      <c r="BH52" s="24">
        <f t="shared" si="46"/>
        <v>0</v>
      </c>
      <c r="BI52" s="24">
        <f t="shared" si="46"/>
        <v>0</v>
      </c>
      <c r="BJ52" s="24">
        <f t="shared" si="46"/>
        <v>0</v>
      </c>
      <c r="BK52" s="24">
        <f t="shared" si="46"/>
        <v>0</v>
      </c>
      <c r="BL52" s="24">
        <f t="shared" si="46"/>
        <v>0</v>
      </c>
      <c r="BM52" s="24">
        <f t="shared" si="46"/>
        <v>0</v>
      </c>
      <c r="BN52" s="24">
        <f t="shared" si="46"/>
        <v>0</v>
      </c>
      <c r="BO52" s="24">
        <f t="shared" si="46"/>
        <v>0</v>
      </c>
      <c r="BP52" s="24">
        <f t="shared" si="46"/>
        <v>0</v>
      </c>
      <c r="BQ52" s="24">
        <f t="shared" si="46"/>
        <v>0</v>
      </c>
      <c r="BR52" s="24">
        <f t="shared" si="46"/>
        <v>0</v>
      </c>
      <c r="BS52" s="24">
        <f t="shared" si="46"/>
        <v>0</v>
      </c>
      <c r="BT52" s="24">
        <f t="shared" si="46"/>
        <v>0</v>
      </c>
      <c r="BU52" s="24">
        <f t="shared" si="46"/>
        <v>0</v>
      </c>
      <c r="BV52" s="24">
        <f t="shared" si="46"/>
        <v>0</v>
      </c>
      <c r="BW52" s="24">
        <f t="shared" si="46"/>
        <v>0</v>
      </c>
      <c r="BX52" s="24">
        <f t="shared" si="47"/>
        <v>0</v>
      </c>
      <c r="BY52" s="24">
        <f t="shared" si="47"/>
        <v>0</v>
      </c>
      <c r="BZ52" s="24">
        <f t="shared" si="47"/>
        <v>0</v>
      </c>
      <c r="CA52" s="24">
        <f t="shared" si="47"/>
        <v>0</v>
      </c>
      <c r="CB52" s="24">
        <f t="shared" si="47"/>
        <v>0</v>
      </c>
      <c r="CC52" s="24">
        <f t="shared" si="47"/>
        <v>0</v>
      </c>
      <c r="CD52" s="24">
        <f t="shared" si="47"/>
        <v>5000000</v>
      </c>
      <c r="CE52" s="27">
        <f t="shared" si="48"/>
        <v>0.73076044267877416</v>
      </c>
      <c r="CF52" s="24">
        <f t="shared" si="49"/>
        <v>64379995</v>
      </c>
      <c r="CG52" s="24"/>
      <c r="CH52" s="24">
        <f>+[8]AGOSTO!$H$2821+[2]OCTUBRE!$H$3384</f>
        <v>64379995</v>
      </c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7">
        <f t="shared" si="8"/>
        <v>0.26923955732122584</v>
      </c>
      <c r="DE52" s="24">
        <f t="shared" si="50"/>
        <v>23720005</v>
      </c>
      <c r="DF52" s="24">
        <f t="shared" si="51"/>
        <v>0</v>
      </c>
      <c r="DG52" s="24">
        <f t="shared" si="51"/>
        <v>18720005</v>
      </c>
      <c r="DH52" s="24">
        <f t="shared" si="51"/>
        <v>0</v>
      </c>
      <c r="DI52" s="24">
        <f t="shared" si="51"/>
        <v>0</v>
      </c>
      <c r="DJ52" s="24">
        <f t="shared" si="51"/>
        <v>0</v>
      </c>
      <c r="DK52" s="24">
        <f t="shared" si="51"/>
        <v>0</v>
      </c>
      <c r="DL52" s="24">
        <f t="shared" si="51"/>
        <v>0</v>
      </c>
      <c r="DM52" s="24">
        <f t="shared" si="51"/>
        <v>0</v>
      </c>
      <c r="DN52" s="24">
        <f t="shared" si="51"/>
        <v>0</v>
      </c>
      <c r="DO52" s="24">
        <f t="shared" si="51"/>
        <v>0</v>
      </c>
      <c r="DP52" s="24">
        <f t="shared" si="51"/>
        <v>0</v>
      </c>
      <c r="DQ52" s="24">
        <f t="shared" si="51"/>
        <v>0</v>
      </c>
      <c r="DR52" s="24">
        <f t="shared" si="51"/>
        <v>0</v>
      </c>
      <c r="DS52" s="24">
        <f t="shared" si="51"/>
        <v>0</v>
      </c>
      <c r="DT52" s="24">
        <f t="shared" si="51"/>
        <v>0</v>
      </c>
      <c r="DU52" s="24">
        <f t="shared" si="51"/>
        <v>0</v>
      </c>
      <c r="DV52" s="24">
        <f t="shared" si="52"/>
        <v>0</v>
      </c>
      <c r="DW52" s="24">
        <f t="shared" si="52"/>
        <v>0</v>
      </c>
      <c r="DX52" s="24">
        <f t="shared" si="52"/>
        <v>0</v>
      </c>
      <c r="DY52" s="24">
        <f t="shared" si="52"/>
        <v>0</v>
      </c>
      <c r="DZ52" s="24">
        <f t="shared" si="52"/>
        <v>0</v>
      </c>
      <c r="EA52" s="24">
        <f t="shared" si="52"/>
        <v>0</v>
      </c>
      <c r="EB52" s="24">
        <f t="shared" si="52"/>
        <v>5000000</v>
      </c>
      <c r="ED52" s="150"/>
      <c r="EE52" s="45">
        <f t="shared" si="32"/>
        <v>88100000</v>
      </c>
      <c r="EF52" s="45">
        <f t="shared" si="33"/>
        <v>64379995</v>
      </c>
      <c r="EG52" s="159">
        <f t="shared" si="34"/>
        <v>0.73076044267877416</v>
      </c>
    </row>
    <row r="53" spans="1:137" ht="21.6" hidden="1" customHeight="1" x14ac:dyDescent="0.25">
      <c r="A53" s="233"/>
      <c r="B53" s="231"/>
      <c r="C53" s="189" t="s">
        <v>177</v>
      </c>
      <c r="D53" s="190" t="s">
        <v>178</v>
      </c>
      <c r="E53" s="33">
        <v>520</v>
      </c>
      <c r="F53" s="188" t="s">
        <v>117</v>
      </c>
      <c r="G53" s="24">
        <f t="shared" si="43"/>
        <v>20000000</v>
      </c>
      <c r="H53" s="25">
        <f>+[13]SP!$F7</f>
        <v>40000000</v>
      </c>
      <c r="I53" s="25">
        <f t="shared" si="53"/>
        <v>20000000</v>
      </c>
      <c r="J53" s="24"/>
      <c r="K53" s="24">
        <f>14174107+11500000-5674107</f>
        <v>20000000</v>
      </c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6">
        <v>0</v>
      </c>
      <c r="AG53" s="27">
        <f t="shared" si="1"/>
        <v>0</v>
      </c>
      <c r="AH53" s="24">
        <f t="shared" si="44"/>
        <v>0</v>
      </c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7">
        <f t="shared" si="12"/>
        <v>1</v>
      </c>
      <c r="BG53" s="24">
        <f t="shared" si="45"/>
        <v>20000000</v>
      </c>
      <c r="BH53" s="24">
        <f t="shared" si="46"/>
        <v>0</v>
      </c>
      <c r="BI53" s="24">
        <f t="shared" si="46"/>
        <v>20000000</v>
      </c>
      <c r="BJ53" s="24">
        <f t="shared" si="46"/>
        <v>0</v>
      </c>
      <c r="BK53" s="24">
        <f t="shared" si="46"/>
        <v>0</v>
      </c>
      <c r="BL53" s="24">
        <f t="shared" si="46"/>
        <v>0</v>
      </c>
      <c r="BM53" s="24">
        <f t="shared" si="46"/>
        <v>0</v>
      </c>
      <c r="BN53" s="24">
        <f t="shared" si="46"/>
        <v>0</v>
      </c>
      <c r="BO53" s="24">
        <f t="shared" si="46"/>
        <v>0</v>
      </c>
      <c r="BP53" s="24">
        <f t="shared" si="46"/>
        <v>0</v>
      </c>
      <c r="BQ53" s="24">
        <f t="shared" si="46"/>
        <v>0</v>
      </c>
      <c r="BR53" s="24">
        <f t="shared" si="46"/>
        <v>0</v>
      </c>
      <c r="BS53" s="24">
        <f t="shared" si="46"/>
        <v>0</v>
      </c>
      <c r="BT53" s="24">
        <f t="shared" si="46"/>
        <v>0</v>
      </c>
      <c r="BU53" s="24">
        <f t="shared" si="46"/>
        <v>0</v>
      </c>
      <c r="BV53" s="24">
        <f t="shared" si="46"/>
        <v>0</v>
      </c>
      <c r="BW53" s="24">
        <f t="shared" si="46"/>
        <v>0</v>
      </c>
      <c r="BX53" s="24">
        <f t="shared" si="47"/>
        <v>0</v>
      </c>
      <c r="BY53" s="24">
        <f t="shared" si="47"/>
        <v>0</v>
      </c>
      <c r="BZ53" s="24">
        <f t="shared" si="47"/>
        <v>0</v>
      </c>
      <c r="CA53" s="24">
        <f t="shared" si="47"/>
        <v>0</v>
      </c>
      <c r="CB53" s="24">
        <f t="shared" si="47"/>
        <v>0</v>
      </c>
      <c r="CC53" s="24">
        <f t="shared" si="47"/>
        <v>0</v>
      </c>
      <c r="CD53" s="24">
        <f t="shared" si="47"/>
        <v>0</v>
      </c>
      <c r="CE53" s="27">
        <f t="shared" si="48"/>
        <v>0</v>
      </c>
      <c r="CF53" s="24">
        <f t="shared" si="49"/>
        <v>0</v>
      </c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7">
        <f t="shared" si="8"/>
        <v>1</v>
      </c>
      <c r="DE53" s="24">
        <f t="shared" si="50"/>
        <v>20000000</v>
      </c>
      <c r="DF53" s="24">
        <f t="shared" si="51"/>
        <v>0</v>
      </c>
      <c r="DG53" s="24">
        <f t="shared" si="51"/>
        <v>20000000</v>
      </c>
      <c r="DH53" s="24">
        <f t="shared" si="51"/>
        <v>0</v>
      </c>
      <c r="DI53" s="24">
        <f t="shared" si="51"/>
        <v>0</v>
      </c>
      <c r="DJ53" s="24">
        <f t="shared" si="51"/>
        <v>0</v>
      </c>
      <c r="DK53" s="24">
        <f t="shared" si="51"/>
        <v>0</v>
      </c>
      <c r="DL53" s="24">
        <f t="shared" si="51"/>
        <v>0</v>
      </c>
      <c r="DM53" s="24">
        <f t="shared" si="51"/>
        <v>0</v>
      </c>
      <c r="DN53" s="24">
        <f t="shared" si="51"/>
        <v>0</v>
      </c>
      <c r="DO53" s="24">
        <f t="shared" si="51"/>
        <v>0</v>
      </c>
      <c r="DP53" s="24">
        <f t="shared" si="51"/>
        <v>0</v>
      </c>
      <c r="DQ53" s="24">
        <f t="shared" si="51"/>
        <v>0</v>
      </c>
      <c r="DR53" s="24">
        <f t="shared" si="51"/>
        <v>0</v>
      </c>
      <c r="DS53" s="24">
        <f t="shared" si="51"/>
        <v>0</v>
      </c>
      <c r="DT53" s="24">
        <f t="shared" si="51"/>
        <v>0</v>
      </c>
      <c r="DU53" s="24">
        <f t="shared" si="51"/>
        <v>0</v>
      </c>
      <c r="DV53" s="24">
        <f t="shared" si="52"/>
        <v>0</v>
      </c>
      <c r="DW53" s="24">
        <f t="shared" si="52"/>
        <v>0</v>
      </c>
      <c r="DX53" s="24">
        <f t="shared" si="52"/>
        <v>0</v>
      </c>
      <c r="DY53" s="24">
        <f t="shared" si="52"/>
        <v>0</v>
      </c>
      <c r="DZ53" s="24">
        <f t="shared" si="52"/>
        <v>0</v>
      </c>
      <c r="EA53" s="24">
        <f t="shared" si="52"/>
        <v>0</v>
      </c>
      <c r="EB53" s="24">
        <f t="shared" si="52"/>
        <v>0</v>
      </c>
      <c r="ED53" s="150"/>
      <c r="EE53" s="45">
        <f t="shared" si="32"/>
        <v>20000000</v>
      </c>
      <c r="EF53" s="45">
        <f t="shared" si="33"/>
        <v>0</v>
      </c>
      <c r="EG53" s="159">
        <f t="shared" si="34"/>
        <v>0</v>
      </c>
    </row>
    <row r="54" spans="1:137" ht="83.25" hidden="1" customHeight="1" x14ac:dyDescent="0.25">
      <c r="A54" s="233"/>
      <c r="B54" s="229"/>
      <c r="C54" s="189" t="s">
        <v>179</v>
      </c>
      <c r="D54" s="190" t="s">
        <v>180</v>
      </c>
      <c r="E54" s="33">
        <v>520</v>
      </c>
      <c r="F54" s="188" t="s">
        <v>181</v>
      </c>
      <c r="G54" s="24">
        <f t="shared" si="43"/>
        <v>139753206</v>
      </c>
      <c r="H54" s="25">
        <f>+[13]SP!$F8</f>
        <v>329420000</v>
      </c>
      <c r="I54" s="25">
        <f t="shared" si="53"/>
        <v>189666794</v>
      </c>
      <c r="J54" s="24"/>
      <c r="K54" s="24">
        <f>105825893-22993638-28100000</f>
        <v>54732255</v>
      </c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6">
        <f>94825893+8000000+8195058+10000000-10000000-13000000-8000000-5000000</f>
        <v>85020951</v>
      </c>
      <c r="AG54" s="27">
        <f t="shared" si="1"/>
        <v>0.63436948272943372</v>
      </c>
      <c r="AH54" s="24">
        <f t="shared" si="44"/>
        <v>88655169</v>
      </c>
      <c r="AI54" s="24"/>
      <c r="AJ54" s="24">
        <f>+[8]AGOSTO!$K$2854</f>
        <v>54732255</v>
      </c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>
        <f>+[2]OCTUBRE!$AG$3406</f>
        <v>33922914</v>
      </c>
      <c r="BF54" s="27">
        <f t="shared" si="12"/>
        <v>0.36563051727056628</v>
      </c>
      <c r="BG54" s="24">
        <f t="shared" si="45"/>
        <v>51098037</v>
      </c>
      <c r="BH54" s="24">
        <f t="shared" si="46"/>
        <v>0</v>
      </c>
      <c r="BI54" s="24">
        <f t="shared" si="46"/>
        <v>0</v>
      </c>
      <c r="BJ54" s="24">
        <f t="shared" si="46"/>
        <v>0</v>
      </c>
      <c r="BK54" s="24">
        <f t="shared" si="46"/>
        <v>0</v>
      </c>
      <c r="BL54" s="24">
        <f t="shared" si="46"/>
        <v>0</v>
      </c>
      <c r="BM54" s="24">
        <f t="shared" si="46"/>
        <v>0</v>
      </c>
      <c r="BN54" s="24">
        <f t="shared" si="46"/>
        <v>0</v>
      </c>
      <c r="BO54" s="24">
        <f t="shared" si="46"/>
        <v>0</v>
      </c>
      <c r="BP54" s="24">
        <f t="shared" si="46"/>
        <v>0</v>
      </c>
      <c r="BQ54" s="24">
        <f t="shared" si="46"/>
        <v>0</v>
      </c>
      <c r="BR54" s="24">
        <f t="shared" si="46"/>
        <v>0</v>
      </c>
      <c r="BS54" s="24">
        <f t="shared" si="46"/>
        <v>0</v>
      </c>
      <c r="BT54" s="24">
        <f t="shared" si="46"/>
        <v>0</v>
      </c>
      <c r="BU54" s="24">
        <f t="shared" si="46"/>
        <v>0</v>
      </c>
      <c r="BV54" s="24">
        <f t="shared" si="46"/>
        <v>0</v>
      </c>
      <c r="BW54" s="24">
        <f t="shared" si="46"/>
        <v>0</v>
      </c>
      <c r="BX54" s="24">
        <f t="shared" si="47"/>
        <v>0</v>
      </c>
      <c r="BY54" s="24">
        <f t="shared" si="47"/>
        <v>0</v>
      </c>
      <c r="BZ54" s="24">
        <f t="shared" si="47"/>
        <v>0</v>
      </c>
      <c r="CA54" s="24">
        <f t="shared" si="47"/>
        <v>0</v>
      </c>
      <c r="CB54" s="24">
        <f t="shared" si="47"/>
        <v>0</v>
      </c>
      <c r="CC54" s="24">
        <f t="shared" si="47"/>
        <v>0</v>
      </c>
      <c r="CD54" s="24">
        <f t="shared" si="47"/>
        <v>51098037</v>
      </c>
      <c r="CE54" s="27">
        <f t="shared" si="48"/>
        <v>0.33084459615187645</v>
      </c>
      <c r="CF54" s="24">
        <f>SUM(CG54:DC54)</f>
        <v>46236593</v>
      </c>
      <c r="CG54" s="24"/>
      <c r="CH54" s="24">
        <f>+[2]OCTUBRE!$H$3407+[2]OCTUBRE!$H$3434</f>
        <v>29965000</v>
      </c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>
        <f>+[3]SEPTIEMBRE!$H$3209+[3]SEPTIEMBRE!$H$3214+[3]SEPTIEMBRE!$H$3220+[3]SEPTIEMBRE!$H$3224+[3]SEPTIEMBRE!$H$3240+[3]SEPTIEMBRE!$H$3249</f>
        <v>16271593</v>
      </c>
      <c r="DD54" s="27">
        <f t="shared" si="8"/>
        <v>0.66915540384812355</v>
      </c>
      <c r="DE54" s="24">
        <f t="shared" si="50"/>
        <v>93516613</v>
      </c>
      <c r="DF54" s="24">
        <f t="shared" si="51"/>
        <v>0</v>
      </c>
      <c r="DG54" s="24">
        <f t="shared" si="51"/>
        <v>24767255</v>
      </c>
      <c r="DH54" s="24">
        <f t="shared" si="51"/>
        <v>0</v>
      </c>
      <c r="DI54" s="24">
        <f t="shared" si="51"/>
        <v>0</v>
      </c>
      <c r="DJ54" s="24">
        <f t="shared" si="51"/>
        <v>0</v>
      </c>
      <c r="DK54" s="24">
        <f t="shared" si="51"/>
        <v>0</v>
      </c>
      <c r="DL54" s="24">
        <f t="shared" si="51"/>
        <v>0</v>
      </c>
      <c r="DM54" s="24">
        <f t="shared" si="51"/>
        <v>0</v>
      </c>
      <c r="DN54" s="24">
        <f t="shared" si="51"/>
        <v>0</v>
      </c>
      <c r="DO54" s="24">
        <f t="shared" si="51"/>
        <v>0</v>
      </c>
      <c r="DP54" s="24">
        <f t="shared" si="51"/>
        <v>0</v>
      </c>
      <c r="DQ54" s="24">
        <f t="shared" si="51"/>
        <v>0</v>
      </c>
      <c r="DR54" s="24">
        <f t="shared" si="51"/>
        <v>0</v>
      </c>
      <c r="DS54" s="24">
        <f t="shared" si="51"/>
        <v>0</v>
      </c>
      <c r="DT54" s="24">
        <f t="shared" si="51"/>
        <v>0</v>
      </c>
      <c r="DU54" s="24">
        <f t="shared" si="51"/>
        <v>0</v>
      </c>
      <c r="DV54" s="24">
        <f t="shared" si="52"/>
        <v>0</v>
      </c>
      <c r="DW54" s="24">
        <f t="shared" si="52"/>
        <v>0</v>
      </c>
      <c r="DX54" s="24">
        <f t="shared" si="52"/>
        <v>0</v>
      </c>
      <c r="DY54" s="24">
        <f t="shared" si="52"/>
        <v>0</v>
      </c>
      <c r="DZ54" s="24">
        <f t="shared" si="52"/>
        <v>0</v>
      </c>
      <c r="EA54" s="24">
        <f t="shared" si="52"/>
        <v>0</v>
      </c>
      <c r="EB54" s="24">
        <f t="shared" si="52"/>
        <v>68749358</v>
      </c>
      <c r="ED54" s="150"/>
      <c r="EE54" s="45">
        <f t="shared" si="32"/>
        <v>139753206</v>
      </c>
      <c r="EF54" s="45">
        <f t="shared" si="33"/>
        <v>46236593</v>
      </c>
      <c r="EG54" s="159">
        <f t="shared" si="34"/>
        <v>0.33084459615187645</v>
      </c>
    </row>
    <row r="55" spans="1:137" ht="28.9" hidden="1" customHeight="1" x14ac:dyDescent="0.25">
      <c r="A55" s="233"/>
      <c r="B55" s="228" t="s">
        <v>182</v>
      </c>
      <c r="C55" s="196" t="s">
        <v>183</v>
      </c>
      <c r="D55" s="190" t="s">
        <v>184</v>
      </c>
      <c r="E55" s="33">
        <v>520</v>
      </c>
      <c r="F55" s="188" t="s">
        <v>117</v>
      </c>
      <c r="G55" s="24">
        <f t="shared" si="43"/>
        <v>185467283</v>
      </c>
      <c r="H55" s="25">
        <f>+[13]SP!$F$14+[13]SP!$F$17</f>
        <v>406000000</v>
      </c>
      <c r="I55" s="25">
        <f t="shared" si="53"/>
        <v>220532717</v>
      </c>
      <c r="J55" s="24"/>
      <c r="K55" s="24">
        <f>80000000+23733866+36566750</f>
        <v>140300616</v>
      </c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>
        <v>45166667</v>
      </c>
      <c r="AB55" s="24"/>
      <c r="AC55" s="24"/>
      <c r="AD55" s="24"/>
      <c r="AE55" s="24"/>
      <c r="AF55" s="24">
        <v>0</v>
      </c>
      <c r="AG55" s="27">
        <f t="shared" si="1"/>
        <v>1</v>
      </c>
      <c r="AH55" s="24">
        <f t="shared" si="44"/>
        <v>185467283</v>
      </c>
      <c r="AI55" s="24"/>
      <c r="AJ55" s="24">
        <f>+[4]JULIO!$K$2743</f>
        <v>140300616</v>
      </c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>
        <f>+[3]SEPTIEMBRE!$AA$3260</f>
        <v>45166667</v>
      </c>
      <c r="BA55" s="24"/>
      <c r="BB55" s="24"/>
      <c r="BC55" s="24"/>
      <c r="BD55" s="24"/>
      <c r="BE55" s="24"/>
      <c r="BF55" s="27">
        <f t="shared" si="12"/>
        <v>0</v>
      </c>
      <c r="BG55" s="24">
        <f t="shared" si="45"/>
        <v>0</v>
      </c>
      <c r="BH55" s="24">
        <f t="shared" si="46"/>
        <v>0</v>
      </c>
      <c r="BI55" s="24">
        <f t="shared" si="46"/>
        <v>0</v>
      </c>
      <c r="BJ55" s="24">
        <f t="shared" si="46"/>
        <v>0</v>
      </c>
      <c r="BK55" s="24">
        <f t="shared" si="46"/>
        <v>0</v>
      </c>
      <c r="BL55" s="24">
        <f t="shared" si="46"/>
        <v>0</v>
      </c>
      <c r="BM55" s="24">
        <f t="shared" si="46"/>
        <v>0</v>
      </c>
      <c r="BN55" s="24">
        <f t="shared" si="46"/>
        <v>0</v>
      </c>
      <c r="BO55" s="24">
        <f t="shared" si="46"/>
        <v>0</v>
      </c>
      <c r="BP55" s="24">
        <f t="shared" si="46"/>
        <v>0</v>
      </c>
      <c r="BQ55" s="24">
        <f t="shared" si="46"/>
        <v>0</v>
      </c>
      <c r="BR55" s="24">
        <f t="shared" si="46"/>
        <v>0</v>
      </c>
      <c r="BS55" s="24">
        <f t="shared" si="46"/>
        <v>0</v>
      </c>
      <c r="BT55" s="24">
        <f t="shared" si="46"/>
        <v>0</v>
      </c>
      <c r="BU55" s="24">
        <f t="shared" si="46"/>
        <v>0</v>
      </c>
      <c r="BV55" s="24">
        <f t="shared" si="46"/>
        <v>0</v>
      </c>
      <c r="BW55" s="24">
        <f t="shared" si="46"/>
        <v>0</v>
      </c>
      <c r="BX55" s="24">
        <f t="shared" si="47"/>
        <v>0</v>
      </c>
      <c r="BY55" s="24">
        <f t="shared" si="47"/>
        <v>0</v>
      </c>
      <c r="BZ55" s="24">
        <f t="shared" si="47"/>
        <v>0</v>
      </c>
      <c r="CA55" s="24">
        <f t="shared" si="47"/>
        <v>0</v>
      </c>
      <c r="CB55" s="24">
        <f t="shared" si="47"/>
        <v>0</v>
      </c>
      <c r="CC55" s="24">
        <f t="shared" si="47"/>
        <v>0</v>
      </c>
      <c r="CD55" s="24">
        <f t="shared" si="47"/>
        <v>0</v>
      </c>
      <c r="CE55" s="27">
        <f t="shared" si="48"/>
        <v>0.85278510819614473</v>
      </c>
      <c r="CF55" s="24">
        <f t="shared" si="49"/>
        <v>158163737</v>
      </c>
      <c r="CG55" s="24"/>
      <c r="CH55" s="24">
        <f>+[2]OCTUBRE!$H$3467+[2]OCTUBRE!$H$3480+[2]OCTUBRE!$H$3492+[2]OCTUBRE!$H$3495</f>
        <v>138591030</v>
      </c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>
        <f>+[2]OCTUBRE!$H$3510</f>
        <v>19572707</v>
      </c>
      <c r="CY55" s="24"/>
      <c r="CZ55" s="24"/>
      <c r="DA55" s="24"/>
      <c r="DB55" s="24"/>
      <c r="DC55" s="24"/>
      <c r="DD55" s="27">
        <f t="shared" si="8"/>
        <v>0.14721489180385527</v>
      </c>
      <c r="DE55" s="24">
        <f t="shared" si="50"/>
        <v>27303546</v>
      </c>
      <c r="DF55" s="24">
        <f t="shared" si="51"/>
        <v>0</v>
      </c>
      <c r="DG55" s="24">
        <f t="shared" si="51"/>
        <v>1709586</v>
      </c>
      <c r="DH55" s="24">
        <f t="shared" si="51"/>
        <v>0</v>
      </c>
      <c r="DI55" s="24">
        <f t="shared" si="51"/>
        <v>0</v>
      </c>
      <c r="DJ55" s="24">
        <f t="shared" si="51"/>
        <v>0</v>
      </c>
      <c r="DK55" s="24">
        <f t="shared" si="51"/>
        <v>0</v>
      </c>
      <c r="DL55" s="24">
        <f t="shared" si="51"/>
        <v>0</v>
      </c>
      <c r="DM55" s="24">
        <f t="shared" si="51"/>
        <v>0</v>
      </c>
      <c r="DN55" s="24">
        <f t="shared" si="51"/>
        <v>0</v>
      </c>
      <c r="DO55" s="24">
        <f t="shared" si="51"/>
        <v>0</v>
      </c>
      <c r="DP55" s="24">
        <f t="shared" si="51"/>
        <v>0</v>
      </c>
      <c r="DQ55" s="24">
        <f t="shared" si="51"/>
        <v>0</v>
      </c>
      <c r="DR55" s="24">
        <f t="shared" si="51"/>
        <v>0</v>
      </c>
      <c r="DS55" s="24">
        <f t="shared" si="51"/>
        <v>0</v>
      </c>
      <c r="DT55" s="24">
        <f t="shared" si="51"/>
        <v>0</v>
      </c>
      <c r="DU55" s="24">
        <f t="shared" si="51"/>
        <v>0</v>
      </c>
      <c r="DV55" s="24">
        <f t="shared" si="52"/>
        <v>0</v>
      </c>
      <c r="DW55" s="24">
        <f t="shared" si="52"/>
        <v>25593960</v>
      </c>
      <c r="DX55" s="24">
        <f t="shared" si="52"/>
        <v>0</v>
      </c>
      <c r="DY55" s="24">
        <f t="shared" si="52"/>
        <v>0</v>
      </c>
      <c r="DZ55" s="24">
        <f t="shared" si="52"/>
        <v>0</v>
      </c>
      <c r="EA55" s="24">
        <f t="shared" si="52"/>
        <v>0</v>
      </c>
      <c r="EB55" s="24">
        <f t="shared" si="52"/>
        <v>0</v>
      </c>
      <c r="ED55" s="150"/>
      <c r="EE55" s="45">
        <f t="shared" si="32"/>
        <v>185467283</v>
      </c>
      <c r="EF55" s="45">
        <f t="shared" si="33"/>
        <v>158163737</v>
      </c>
      <c r="EG55" s="159">
        <f t="shared" si="34"/>
        <v>0.85278510819614473</v>
      </c>
    </row>
    <row r="56" spans="1:137" ht="30.75" hidden="1" customHeight="1" x14ac:dyDescent="0.25">
      <c r="A56" s="233"/>
      <c r="B56" s="231"/>
      <c r="C56" s="189" t="s">
        <v>185</v>
      </c>
      <c r="D56" s="33" t="s">
        <v>186</v>
      </c>
      <c r="E56" s="33">
        <v>520</v>
      </c>
      <c r="F56" s="188" t="s">
        <v>117</v>
      </c>
      <c r="G56" s="24">
        <f t="shared" si="43"/>
        <v>36200000</v>
      </c>
      <c r="H56" s="25">
        <f>+[13]SP!$F$18</f>
        <v>144500000</v>
      </c>
      <c r="I56" s="25">
        <f t="shared" si="53"/>
        <v>108300000</v>
      </c>
      <c r="J56" s="24"/>
      <c r="K56" s="24">
        <f>40000000-3800000</f>
        <v>36200000</v>
      </c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  <c r="AA56" s="24"/>
      <c r="AB56" s="24"/>
      <c r="AC56" s="24"/>
      <c r="AD56" s="24"/>
      <c r="AE56" s="24"/>
      <c r="AF56" s="24">
        <v>0</v>
      </c>
      <c r="AG56" s="27">
        <f t="shared" si="1"/>
        <v>0.97790055248618779</v>
      </c>
      <c r="AH56" s="24">
        <f t="shared" si="44"/>
        <v>35400000</v>
      </c>
      <c r="AI56" s="24"/>
      <c r="AJ56" s="24">
        <f>+[8]AGOSTO!$K$2955</f>
        <v>35400000</v>
      </c>
      <c r="AK56" s="24"/>
      <c r="AL56" s="24"/>
      <c r="AM56" s="24"/>
      <c r="AN56" s="24"/>
      <c r="AO56" s="24"/>
      <c r="AP56" s="24"/>
      <c r="AQ56" s="24"/>
      <c r="AR56" s="24"/>
      <c r="AS56" s="24"/>
      <c r="AT56" s="24"/>
      <c r="AU56" s="24"/>
      <c r="AV56" s="24"/>
      <c r="AW56" s="24"/>
      <c r="AX56" s="24"/>
      <c r="AY56" s="24"/>
      <c r="AZ56" s="24"/>
      <c r="BA56" s="24"/>
      <c r="BB56" s="24"/>
      <c r="BC56" s="24"/>
      <c r="BD56" s="24"/>
      <c r="BE56" s="24"/>
      <c r="BF56" s="27">
        <f t="shared" si="12"/>
        <v>2.2099447513812209E-2</v>
      </c>
      <c r="BG56" s="24">
        <f t="shared" si="45"/>
        <v>800000</v>
      </c>
      <c r="BH56" s="24">
        <f t="shared" si="46"/>
        <v>0</v>
      </c>
      <c r="BI56" s="24">
        <f t="shared" si="46"/>
        <v>800000</v>
      </c>
      <c r="BJ56" s="24">
        <f t="shared" si="46"/>
        <v>0</v>
      </c>
      <c r="BK56" s="24">
        <f t="shared" si="46"/>
        <v>0</v>
      </c>
      <c r="BL56" s="24">
        <f t="shared" si="46"/>
        <v>0</v>
      </c>
      <c r="BM56" s="24">
        <f t="shared" si="46"/>
        <v>0</v>
      </c>
      <c r="BN56" s="24">
        <f t="shared" si="46"/>
        <v>0</v>
      </c>
      <c r="BO56" s="24">
        <f t="shared" si="46"/>
        <v>0</v>
      </c>
      <c r="BP56" s="24">
        <f t="shared" si="46"/>
        <v>0</v>
      </c>
      <c r="BQ56" s="24">
        <f t="shared" si="46"/>
        <v>0</v>
      </c>
      <c r="BR56" s="24">
        <f t="shared" si="46"/>
        <v>0</v>
      </c>
      <c r="BS56" s="24">
        <f t="shared" si="46"/>
        <v>0</v>
      </c>
      <c r="BT56" s="24">
        <f t="shared" si="46"/>
        <v>0</v>
      </c>
      <c r="BU56" s="24">
        <f t="shared" si="46"/>
        <v>0</v>
      </c>
      <c r="BV56" s="24">
        <f t="shared" si="46"/>
        <v>0</v>
      </c>
      <c r="BW56" s="24">
        <f t="shared" si="46"/>
        <v>0</v>
      </c>
      <c r="BX56" s="24">
        <f t="shared" si="47"/>
        <v>0</v>
      </c>
      <c r="BY56" s="24">
        <f t="shared" si="47"/>
        <v>0</v>
      </c>
      <c r="BZ56" s="24">
        <f t="shared" si="47"/>
        <v>0</v>
      </c>
      <c r="CA56" s="24">
        <f t="shared" si="47"/>
        <v>0</v>
      </c>
      <c r="CB56" s="24">
        <f t="shared" si="47"/>
        <v>0</v>
      </c>
      <c r="CC56" s="24">
        <f t="shared" si="47"/>
        <v>0</v>
      </c>
      <c r="CD56" s="24">
        <f t="shared" si="47"/>
        <v>0</v>
      </c>
      <c r="CE56" s="27">
        <f t="shared" si="48"/>
        <v>0.47513812154696133</v>
      </c>
      <c r="CF56" s="24">
        <f t="shared" si="49"/>
        <v>17200000</v>
      </c>
      <c r="CG56" s="24"/>
      <c r="CH56" s="24">
        <f>+[4]JULIO!$H$2782</f>
        <v>17200000</v>
      </c>
      <c r="CI56" s="24"/>
      <c r="CJ56" s="24"/>
      <c r="CK56" s="24"/>
      <c r="CL56" s="24"/>
      <c r="CM56" s="24"/>
      <c r="CN56" s="24"/>
      <c r="CO56" s="24"/>
      <c r="CP56" s="24"/>
      <c r="CQ56" s="24"/>
      <c r="CR56" s="24"/>
      <c r="CS56" s="24"/>
      <c r="CT56" s="24"/>
      <c r="CU56" s="24"/>
      <c r="CV56" s="24"/>
      <c r="CW56" s="24"/>
      <c r="CX56" s="24"/>
      <c r="CY56" s="24"/>
      <c r="CZ56" s="24"/>
      <c r="DA56" s="24"/>
      <c r="DB56" s="24"/>
      <c r="DC56" s="24"/>
      <c r="DD56" s="27">
        <f t="shared" si="8"/>
        <v>0.52486187845303867</v>
      </c>
      <c r="DE56" s="24">
        <f t="shared" si="50"/>
        <v>19000000</v>
      </c>
      <c r="DF56" s="24">
        <f t="shared" si="51"/>
        <v>0</v>
      </c>
      <c r="DG56" s="24">
        <f t="shared" si="51"/>
        <v>19000000</v>
      </c>
      <c r="DH56" s="24">
        <f t="shared" si="51"/>
        <v>0</v>
      </c>
      <c r="DI56" s="24">
        <f t="shared" si="51"/>
        <v>0</v>
      </c>
      <c r="DJ56" s="24">
        <f t="shared" si="51"/>
        <v>0</v>
      </c>
      <c r="DK56" s="24">
        <f t="shared" si="51"/>
        <v>0</v>
      </c>
      <c r="DL56" s="24">
        <f t="shared" si="51"/>
        <v>0</v>
      </c>
      <c r="DM56" s="24">
        <f t="shared" si="51"/>
        <v>0</v>
      </c>
      <c r="DN56" s="24">
        <f t="shared" si="51"/>
        <v>0</v>
      </c>
      <c r="DO56" s="24">
        <f t="shared" si="51"/>
        <v>0</v>
      </c>
      <c r="DP56" s="24">
        <f t="shared" si="51"/>
        <v>0</v>
      </c>
      <c r="DQ56" s="24">
        <f t="shared" si="51"/>
        <v>0</v>
      </c>
      <c r="DR56" s="24">
        <f t="shared" si="51"/>
        <v>0</v>
      </c>
      <c r="DS56" s="24">
        <f t="shared" si="51"/>
        <v>0</v>
      </c>
      <c r="DT56" s="24">
        <f t="shared" si="51"/>
        <v>0</v>
      </c>
      <c r="DU56" s="24">
        <f t="shared" si="51"/>
        <v>0</v>
      </c>
      <c r="DV56" s="24">
        <f t="shared" si="52"/>
        <v>0</v>
      </c>
      <c r="DW56" s="24">
        <f t="shared" si="52"/>
        <v>0</v>
      </c>
      <c r="DX56" s="24">
        <f t="shared" si="52"/>
        <v>0</v>
      </c>
      <c r="DY56" s="24">
        <f t="shared" si="52"/>
        <v>0</v>
      </c>
      <c r="DZ56" s="24">
        <f t="shared" si="52"/>
        <v>0</v>
      </c>
      <c r="EA56" s="24">
        <f t="shared" si="52"/>
        <v>0</v>
      </c>
      <c r="EB56" s="24">
        <f t="shared" si="52"/>
        <v>0</v>
      </c>
      <c r="ED56" s="150"/>
      <c r="EE56" s="45">
        <f t="shared" si="32"/>
        <v>36200000</v>
      </c>
      <c r="EF56" s="45">
        <f t="shared" si="33"/>
        <v>17200000</v>
      </c>
      <c r="EG56" s="159">
        <f t="shared" si="34"/>
        <v>0.47513812154696133</v>
      </c>
    </row>
    <row r="57" spans="1:137" ht="33.6" hidden="1" customHeight="1" x14ac:dyDescent="0.25">
      <c r="A57" s="233"/>
      <c r="B57" s="231"/>
      <c r="C57" s="189" t="s">
        <v>187</v>
      </c>
      <c r="D57" s="33" t="s">
        <v>188</v>
      </c>
      <c r="E57" s="33">
        <v>520</v>
      </c>
      <c r="F57" s="188" t="s">
        <v>117</v>
      </c>
      <c r="G57" s="24">
        <f t="shared" si="43"/>
        <v>0</v>
      </c>
      <c r="H57" s="25">
        <f>+[13]SP!$F$21</f>
        <v>0</v>
      </c>
      <c r="I57" s="25">
        <f t="shared" si="53"/>
        <v>0</v>
      </c>
      <c r="J57" s="24"/>
      <c r="K57" s="24">
        <v>0</v>
      </c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>
        <v>0</v>
      </c>
      <c r="AG57" s="27" t="e">
        <f t="shared" si="1"/>
        <v>#DIV/0!</v>
      </c>
      <c r="AH57" s="24">
        <f t="shared" si="44"/>
        <v>0</v>
      </c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7" t="e">
        <f t="shared" si="12"/>
        <v>#DIV/0!</v>
      </c>
      <c r="BG57" s="24">
        <f t="shared" si="45"/>
        <v>0</v>
      </c>
      <c r="BH57" s="24">
        <f t="shared" si="46"/>
        <v>0</v>
      </c>
      <c r="BI57" s="24">
        <f t="shared" si="46"/>
        <v>0</v>
      </c>
      <c r="BJ57" s="24">
        <f t="shared" si="46"/>
        <v>0</v>
      </c>
      <c r="BK57" s="24">
        <f t="shared" si="46"/>
        <v>0</v>
      </c>
      <c r="BL57" s="24">
        <f t="shared" si="46"/>
        <v>0</v>
      </c>
      <c r="BM57" s="24">
        <f t="shared" si="46"/>
        <v>0</v>
      </c>
      <c r="BN57" s="24">
        <f t="shared" si="46"/>
        <v>0</v>
      </c>
      <c r="BO57" s="24">
        <f t="shared" si="46"/>
        <v>0</v>
      </c>
      <c r="BP57" s="24">
        <f t="shared" si="46"/>
        <v>0</v>
      </c>
      <c r="BQ57" s="24">
        <f t="shared" si="46"/>
        <v>0</v>
      </c>
      <c r="BR57" s="24">
        <f t="shared" si="46"/>
        <v>0</v>
      </c>
      <c r="BS57" s="24">
        <f t="shared" si="46"/>
        <v>0</v>
      </c>
      <c r="BT57" s="24">
        <f t="shared" si="46"/>
        <v>0</v>
      </c>
      <c r="BU57" s="24">
        <f t="shared" si="46"/>
        <v>0</v>
      </c>
      <c r="BV57" s="24">
        <f t="shared" si="46"/>
        <v>0</v>
      </c>
      <c r="BW57" s="24">
        <f t="shared" si="46"/>
        <v>0</v>
      </c>
      <c r="BX57" s="24">
        <f t="shared" si="47"/>
        <v>0</v>
      </c>
      <c r="BY57" s="24">
        <f t="shared" si="47"/>
        <v>0</v>
      </c>
      <c r="BZ57" s="24">
        <f t="shared" si="47"/>
        <v>0</v>
      </c>
      <c r="CA57" s="24">
        <f t="shared" si="47"/>
        <v>0</v>
      </c>
      <c r="CB57" s="24">
        <f t="shared" si="47"/>
        <v>0</v>
      </c>
      <c r="CC57" s="24">
        <f t="shared" si="47"/>
        <v>0</v>
      </c>
      <c r="CD57" s="24">
        <f t="shared" si="47"/>
        <v>0</v>
      </c>
      <c r="CE57" s="27" t="e">
        <f t="shared" si="48"/>
        <v>#DIV/0!</v>
      </c>
      <c r="CF57" s="24">
        <f t="shared" si="49"/>
        <v>0</v>
      </c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7" t="e">
        <f t="shared" si="8"/>
        <v>#DIV/0!</v>
      </c>
      <c r="DE57" s="24">
        <f t="shared" si="50"/>
        <v>0</v>
      </c>
      <c r="DF57" s="24">
        <f t="shared" si="51"/>
        <v>0</v>
      </c>
      <c r="DG57" s="24">
        <f t="shared" si="51"/>
        <v>0</v>
      </c>
      <c r="DH57" s="24">
        <f t="shared" si="51"/>
        <v>0</v>
      </c>
      <c r="DI57" s="24">
        <f t="shared" si="51"/>
        <v>0</v>
      </c>
      <c r="DJ57" s="24">
        <f t="shared" si="51"/>
        <v>0</v>
      </c>
      <c r="DK57" s="24">
        <f t="shared" si="51"/>
        <v>0</v>
      </c>
      <c r="DL57" s="24">
        <f t="shared" si="51"/>
        <v>0</v>
      </c>
      <c r="DM57" s="24">
        <f t="shared" si="51"/>
        <v>0</v>
      </c>
      <c r="DN57" s="24">
        <f t="shared" si="51"/>
        <v>0</v>
      </c>
      <c r="DO57" s="24">
        <f t="shared" si="51"/>
        <v>0</v>
      </c>
      <c r="DP57" s="24">
        <f t="shared" si="51"/>
        <v>0</v>
      </c>
      <c r="DQ57" s="24">
        <f t="shared" si="51"/>
        <v>0</v>
      </c>
      <c r="DR57" s="24">
        <f t="shared" si="51"/>
        <v>0</v>
      </c>
      <c r="DS57" s="24">
        <f t="shared" si="51"/>
        <v>0</v>
      </c>
      <c r="DT57" s="24">
        <f t="shared" si="51"/>
        <v>0</v>
      </c>
      <c r="DU57" s="24">
        <f t="shared" si="51"/>
        <v>0</v>
      </c>
      <c r="DV57" s="24">
        <f t="shared" si="52"/>
        <v>0</v>
      </c>
      <c r="DW57" s="24">
        <f t="shared" si="52"/>
        <v>0</v>
      </c>
      <c r="DX57" s="24">
        <f t="shared" si="52"/>
        <v>0</v>
      </c>
      <c r="DY57" s="24">
        <f t="shared" si="52"/>
        <v>0</v>
      </c>
      <c r="DZ57" s="24">
        <f t="shared" si="52"/>
        <v>0</v>
      </c>
      <c r="EA57" s="24">
        <f t="shared" si="52"/>
        <v>0</v>
      </c>
      <c r="EB57" s="24">
        <f t="shared" si="52"/>
        <v>0</v>
      </c>
      <c r="ED57" s="150"/>
      <c r="EE57" s="45">
        <f t="shared" si="32"/>
        <v>0</v>
      </c>
      <c r="EF57" s="45">
        <f t="shared" si="33"/>
        <v>0</v>
      </c>
      <c r="EG57" s="159" t="e">
        <f t="shared" si="34"/>
        <v>#DIV/0!</v>
      </c>
    </row>
    <row r="58" spans="1:137" ht="35.450000000000003" hidden="1" customHeight="1" x14ac:dyDescent="0.25">
      <c r="A58" s="233"/>
      <c r="B58" s="231"/>
      <c r="C58" s="189" t="s">
        <v>189</v>
      </c>
      <c r="D58" s="33" t="s">
        <v>190</v>
      </c>
      <c r="E58" s="33">
        <v>520</v>
      </c>
      <c r="F58" s="188" t="s">
        <v>117</v>
      </c>
      <c r="G58" s="24">
        <f t="shared" si="43"/>
        <v>41409267</v>
      </c>
      <c r="H58" s="25">
        <f>+[13]SP!$F$22</f>
        <v>57321000</v>
      </c>
      <c r="I58" s="25">
        <f t="shared" si="53"/>
        <v>15911733</v>
      </c>
      <c r="J58" s="24"/>
      <c r="K58" s="24">
        <f>25000000+6214267</f>
        <v>31214267</v>
      </c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>
        <f>10195000</f>
        <v>10195000</v>
      </c>
      <c r="AB58" s="24"/>
      <c r="AC58" s="24"/>
      <c r="AD58" s="24"/>
      <c r="AE58" s="24"/>
      <c r="AF58" s="24">
        <v>0</v>
      </c>
      <c r="AG58" s="27">
        <f t="shared" si="1"/>
        <v>0.99851076813313311</v>
      </c>
      <c r="AH58" s="24">
        <f t="shared" si="44"/>
        <v>41347599</v>
      </c>
      <c r="AI58" s="24"/>
      <c r="AJ58" s="24">
        <f>+[4]JULIO!$K$2811</f>
        <v>31152599</v>
      </c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>
        <f>+[3]SEPTIEMBRE!$AA$3343</f>
        <v>10195000</v>
      </c>
      <c r="BA58" s="24"/>
      <c r="BB58" s="24"/>
      <c r="BC58" s="24"/>
      <c r="BD58" s="24"/>
      <c r="BE58" s="24"/>
      <c r="BF58" s="27">
        <f t="shared" si="12"/>
        <v>1.4892318668668914E-3</v>
      </c>
      <c r="BG58" s="24">
        <f t="shared" si="45"/>
        <v>61668</v>
      </c>
      <c r="BH58" s="24">
        <f t="shared" si="46"/>
        <v>0</v>
      </c>
      <c r="BI58" s="24">
        <f t="shared" si="46"/>
        <v>61668</v>
      </c>
      <c r="BJ58" s="24">
        <f t="shared" si="46"/>
        <v>0</v>
      </c>
      <c r="BK58" s="24">
        <f t="shared" si="46"/>
        <v>0</v>
      </c>
      <c r="BL58" s="24">
        <f t="shared" si="46"/>
        <v>0</v>
      </c>
      <c r="BM58" s="24">
        <f t="shared" si="46"/>
        <v>0</v>
      </c>
      <c r="BN58" s="24">
        <f t="shared" si="46"/>
        <v>0</v>
      </c>
      <c r="BO58" s="24">
        <f t="shared" si="46"/>
        <v>0</v>
      </c>
      <c r="BP58" s="24">
        <f t="shared" si="46"/>
        <v>0</v>
      </c>
      <c r="BQ58" s="24">
        <f t="shared" si="46"/>
        <v>0</v>
      </c>
      <c r="BR58" s="24">
        <f t="shared" si="46"/>
        <v>0</v>
      </c>
      <c r="BS58" s="24">
        <f t="shared" si="46"/>
        <v>0</v>
      </c>
      <c r="BT58" s="24">
        <f t="shared" si="46"/>
        <v>0</v>
      </c>
      <c r="BU58" s="24">
        <f t="shared" si="46"/>
        <v>0</v>
      </c>
      <c r="BV58" s="24">
        <f t="shared" si="46"/>
        <v>0</v>
      </c>
      <c r="BW58" s="24">
        <f t="shared" si="46"/>
        <v>0</v>
      </c>
      <c r="BX58" s="24">
        <f t="shared" si="47"/>
        <v>0</v>
      </c>
      <c r="BY58" s="24">
        <f t="shared" si="47"/>
        <v>0</v>
      </c>
      <c r="BZ58" s="24">
        <f t="shared" si="47"/>
        <v>0</v>
      </c>
      <c r="CA58" s="24">
        <f t="shared" si="47"/>
        <v>0</v>
      </c>
      <c r="CB58" s="24">
        <f t="shared" si="47"/>
        <v>0</v>
      </c>
      <c r="CC58" s="24">
        <f t="shared" si="47"/>
        <v>0</v>
      </c>
      <c r="CD58" s="24">
        <f t="shared" si="47"/>
        <v>0</v>
      </c>
      <c r="CE58" s="27">
        <f t="shared" si="48"/>
        <v>0.99851047834292739</v>
      </c>
      <c r="CF58" s="24">
        <f t="shared" si="49"/>
        <v>41347587</v>
      </c>
      <c r="CG58" s="24"/>
      <c r="CH58" s="24">
        <f>+[4]JULIO!$H$2809</f>
        <v>31152587</v>
      </c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>
        <f>+[2]OCTUBRE!$H$3567+[2]OCTUBRE!$H$3570</f>
        <v>10195000</v>
      </c>
      <c r="CY58" s="24"/>
      <c r="CZ58" s="24"/>
      <c r="DA58" s="24"/>
      <c r="DB58" s="24"/>
      <c r="DC58" s="24"/>
      <c r="DD58" s="27">
        <f t="shared" si="8"/>
        <v>1.4895216570726122E-3</v>
      </c>
      <c r="DE58" s="24">
        <f t="shared" si="50"/>
        <v>61680</v>
      </c>
      <c r="DF58" s="24">
        <f t="shared" si="51"/>
        <v>0</v>
      </c>
      <c r="DG58" s="24">
        <f t="shared" si="51"/>
        <v>61680</v>
      </c>
      <c r="DH58" s="24">
        <f t="shared" si="51"/>
        <v>0</v>
      </c>
      <c r="DI58" s="24">
        <f t="shared" si="51"/>
        <v>0</v>
      </c>
      <c r="DJ58" s="24">
        <f t="shared" si="51"/>
        <v>0</v>
      </c>
      <c r="DK58" s="24">
        <f t="shared" si="51"/>
        <v>0</v>
      </c>
      <c r="DL58" s="24">
        <f t="shared" si="51"/>
        <v>0</v>
      </c>
      <c r="DM58" s="24">
        <f t="shared" si="51"/>
        <v>0</v>
      </c>
      <c r="DN58" s="24">
        <f t="shared" si="51"/>
        <v>0</v>
      </c>
      <c r="DO58" s="24">
        <f t="shared" si="51"/>
        <v>0</v>
      </c>
      <c r="DP58" s="24">
        <f t="shared" si="51"/>
        <v>0</v>
      </c>
      <c r="DQ58" s="24">
        <f t="shared" si="51"/>
        <v>0</v>
      </c>
      <c r="DR58" s="24">
        <f t="shared" si="51"/>
        <v>0</v>
      </c>
      <c r="DS58" s="24">
        <f t="shared" si="51"/>
        <v>0</v>
      </c>
      <c r="DT58" s="24">
        <f t="shared" si="51"/>
        <v>0</v>
      </c>
      <c r="DU58" s="24">
        <f t="shared" si="51"/>
        <v>0</v>
      </c>
      <c r="DV58" s="24">
        <f t="shared" si="52"/>
        <v>0</v>
      </c>
      <c r="DW58" s="24">
        <f t="shared" si="52"/>
        <v>0</v>
      </c>
      <c r="DX58" s="24">
        <f t="shared" si="52"/>
        <v>0</v>
      </c>
      <c r="DY58" s="24">
        <f t="shared" si="52"/>
        <v>0</v>
      </c>
      <c r="DZ58" s="24">
        <f t="shared" si="52"/>
        <v>0</v>
      </c>
      <c r="EA58" s="24">
        <f t="shared" si="52"/>
        <v>0</v>
      </c>
      <c r="EB58" s="24">
        <f t="shared" si="52"/>
        <v>0</v>
      </c>
      <c r="ED58" s="150"/>
      <c r="EE58" s="45">
        <f t="shared" si="32"/>
        <v>41409267</v>
      </c>
      <c r="EF58" s="45">
        <f t="shared" si="33"/>
        <v>41347587</v>
      </c>
      <c r="EG58" s="159">
        <f t="shared" si="34"/>
        <v>0.99851047834292739</v>
      </c>
    </row>
    <row r="59" spans="1:137" ht="31.9" hidden="1" customHeight="1" x14ac:dyDescent="0.25">
      <c r="A59" s="233"/>
      <c r="B59" s="231"/>
      <c r="C59" s="189" t="s">
        <v>191</v>
      </c>
      <c r="D59" s="33" t="s">
        <v>192</v>
      </c>
      <c r="E59" s="33">
        <v>520</v>
      </c>
      <c r="F59" s="188" t="s">
        <v>117</v>
      </c>
      <c r="G59" s="24">
        <f t="shared" si="43"/>
        <v>21120267</v>
      </c>
      <c r="H59" s="25">
        <f>+[13]SP!$F$23</f>
        <v>36144000</v>
      </c>
      <c r="I59" s="25">
        <f t="shared" si="53"/>
        <v>15023733</v>
      </c>
      <c r="J59" s="24"/>
      <c r="K59" s="24">
        <f>10000000+6214267</f>
        <v>16214267</v>
      </c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  <c r="AA59" s="24">
        <f>4906000</f>
        <v>4906000</v>
      </c>
      <c r="AB59" s="24"/>
      <c r="AC59" s="24"/>
      <c r="AD59" s="24"/>
      <c r="AE59" s="24"/>
      <c r="AF59" s="24">
        <v>0</v>
      </c>
      <c r="AG59" s="27">
        <f t="shared" si="1"/>
        <v>1</v>
      </c>
      <c r="AH59" s="24">
        <f t="shared" si="44"/>
        <v>21120267</v>
      </c>
      <c r="AI59" s="24"/>
      <c r="AJ59" s="24">
        <f>+[4]JULIO!$K$2829</f>
        <v>16214267</v>
      </c>
      <c r="AK59" s="24"/>
      <c r="AL59" s="24"/>
      <c r="AM59" s="24"/>
      <c r="AN59" s="24"/>
      <c r="AO59" s="24"/>
      <c r="AP59" s="24"/>
      <c r="AQ59" s="24"/>
      <c r="AR59" s="24"/>
      <c r="AS59" s="24"/>
      <c r="AT59" s="24"/>
      <c r="AU59" s="24"/>
      <c r="AV59" s="24"/>
      <c r="AW59" s="24"/>
      <c r="AX59" s="24"/>
      <c r="AY59" s="24"/>
      <c r="AZ59" s="24">
        <f>+[3]SEPTIEMBRE!$AA$3365</f>
        <v>4906000</v>
      </c>
      <c r="BA59" s="24"/>
      <c r="BB59" s="24"/>
      <c r="BC59" s="24"/>
      <c r="BD59" s="24"/>
      <c r="BE59" s="24"/>
      <c r="BF59" s="27">
        <f t="shared" si="12"/>
        <v>0</v>
      </c>
      <c r="BG59" s="24">
        <f t="shared" si="45"/>
        <v>0</v>
      </c>
      <c r="BH59" s="24">
        <f t="shared" si="46"/>
        <v>0</v>
      </c>
      <c r="BI59" s="24">
        <f t="shared" si="46"/>
        <v>0</v>
      </c>
      <c r="BJ59" s="24">
        <f t="shared" si="46"/>
        <v>0</v>
      </c>
      <c r="BK59" s="24">
        <f t="shared" si="46"/>
        <v>0</v>
      </c>
      <c r="BL59" s="24">
        <f t="shared" si="46"/>
        <v>0</v>
      </c>
      <c r="BM59" s="24">
        <f t="shared" si="46"/>
        <v>0</v>
      </c>
      <c r="BN59" s="24">
        <f t="shared" si="46"/>
        <v>0</v>
      </c>
      <c r="BO59" s="24">
        <f t="shared" si="46"/>
        <v>0</v>
      </c>
      <c r="BP59" s="24">
        <f t="shared" si="46"/>
        <v>0</v>
      </c>
      <c r="BQ59" s="24">
        <f t="shared" si="46"/>
        <v>0</v>
      </c>
      <c r="BR59" s="24">
        <f t="shared" si="46"/>
        <v>0</v>
      </c>
      <c r="BS59" s="24">
        <f t="shared" si="46"/>
        <v>0</v>
      </c>
      <c r="BT59" s="24">
        <f t="shared" si="46"/>
        <v>0</v>
      </c>
      <c r="BU59" s="24">
        <f t="shared" si="46"/>
        <v>0</v>
      </c>
      <c r="BV59" s="24">
        <f t="shared" si="46"/>
        <v>0</v>
      </c>
      <c r="BW59" s="24">
        <f t="shared" si="46"/>
        <v>0</v>
      </c>
      <c r="BX59" s="24">
        <f t="shared" si="47"/>
        <v>0</v>
      </c>
      <c r="BY59" s="24">
        <f t="shared" si="47"/>
        <v>0</v>
      </c>
      <c r="BZ59" s="24">
        <f t="shared" si="47"/>
        <v>0</v>
      </c>
      <c r="CA59" s="24">
        <f t="shared" si="47"/>
        <v>0</v>
      </c>
      <c r="CB59" s="24">
        <f t="shared" si="47"/>
        <v>0</v>
      </c>
      <c r="CC59" s="24">
        <f t="shared" si="47"/>
        <v>0</v>
      </c>
      <c r="CD59" s="24">
        <f t="shared" si="47"/>
        <v>0</v>
      </c>
      <c r="CE59" s="27">
        <f t="shared" si="48"/>
        <v>0.99999995265211372</v>
      </c>
      <c r="CF59" s="24">
        <f t="shared" si="49"/>
        <v>21120266</v>
      </c>
      <c r="CG59" s="24"/>
      <c r="CH59" s="24">
        <f>+[4]JULIO!$H$2827</f>
        <v>16214266</v>
      </c>
      <c r="CI59" s="24"/>
      <c r="CJ59" s="24"/>
      <c r="CK59" s="24"/>
      <c r="CL59" s="24"/>
      <c r="CM59" s="24"/>
      <c r="CN59" s="24"/>
      <c r="CO59" s="24"/>
      <c r="CP59" s="24"/>
      <c r="CQ59" s="24"/>
      <c r="CR59" s="24"/>
      <c r="CS59" s="24"/>
      <c r="CT59" s="24"/>
      <c r="CU59" s="24"/>
      <c r="CV59" s="24"/>
      <c r="CW59" s="24"/>
      <c r="CX59" s="24">
        <f>+[2]OCTUBRE!$H$3582</f>
        <v>4906000</v>
      </c>
      <c r="CY59" s="24"/>
      <c r="CZ59" s="24"/>
      <c r="DA59" s="24"/>
      <c r="DB59" s="24"/>
      <c r="DC59" s="24"/>
      <c r="DD59" s="27">
        <f t="shared" si="8"/>
        <v>4.7347886278359397E-8</v>
      </c>
      <c r="DE59" s="24">
        <f t="shared" si="50"/>
        <v>1</v>
      </c>
      <c r="DF59" s="24">
        <f t="shared" si="51"/>
        <v>0</v>
      </c>
      <c r="DG59" s="24">
        <f t="shared" si="51"/>
        <v>1</v>
      </c>
      <c r="DH59" s="24">
        <f t="shared" si="51"/>
        <v>0</v>
      </c>
      <c r="DI59" s="24">
        <f t="shared" si="51"/>
        <v>0</v>
      </c>
      <c r="DJ59" s="24">
        <f t="shared" si="51"/>
        <v>0</v>
      </c>
      <c r="DK59" s="24">
        <f t="shared" si="51"/>
        <v>0</v>
      </c>
      <c r="DL59" s="24">
        <f t="shared" si="51"/>
        <v>0</v>
      </c>
      <c r="DM59" s="24">
        <f t="shared" si="51"/>
        <v>0</v>
      </c>
      <c r="DN59" s="24">
        <f t="shared" si="51"/>
        <v>0</v>
      </c>
      <c r="DO59" s="24">
        <f t="shared" si="51"/>
        <v>0</v>
      </c>
      <c r="DP59" s="24">
        <f t="shared" si="51"/>
        <v>0</v>
      </c>
      <c r="DQ59" s="24">
        <f t="shared" si="51"/>
        <v>0</v>
      </c>
      <c r="DR59" s="24">
        <f t="shared" si="51"/>
        <v>0</v>
      </c>
      <c r="DS59" s="24">
        <f t="shared" si="51"/>
        <v>0</v>
      </c>
      <c r="DT59" s="24">
        <f t="shared" si="51"/>
        <v>0</v>
      </c>
      <c r="DU59" s="24">
        <f t="shared" si="51"/>
        <v>0</v>
      </c>
      <c r="DV59" s="24">
        <f t="shared" si="52"/>
        <v>0</v>
      </c>
      <c r="DW59" s="24">
        <f t="shared" si="52"/>
        <v>0</v>
      </c>
      <c r="DX59" s="24">
        <f t="shared" si="52"/>
        <v>0</v>
      </c>
      <c r="DY59" s="24">
        <f t="shared" si="52"/>
        <v>0</v>
      </c>
      <c r="DZ59" s="24">
        <f t="shared" si="52"/>
        <v>0</v>
      </c>
      <c r="EA59" s="24">
        <f t="shared" si="52"/>
        <v>0</v>
      </c>
      <c r="EB59" s="24">
        <f t="shared" si="52"/>
        <v>0</v>
      </c>
      <c r="ED59" s="150"/>
      <c r="EE59" s="45">
        <f t="shared" si="32"/>
        <v>21120267</v>
      </c>
      <c r="EF59" s="45">
        <f t="shared" si="33"/>
        <v>21120266</v>
      </c>
      <c r="EG59" s="159">
        <f t="shared" si="34"/>
        <v>0.99999995265211372</v>
      </c>
    </row>
    <row r="60" spans="1:137" ht="19.899999999999999" hidden="1" customHeight="1" x14ac:dyDescent="0.25">
      <c r="A60" s="233"/>
      <c r="B60" s="231"/>
      <c r="C60" s="189" t="s">
        <v>193</v>
      </c>
      <c r="D60" s="33" t="s">
        <v>194</v>
      </c>
      <c r="E60" s="33">
        <v>520</v>
      </c>
      <c r="F60" s="188" t="s">
        <v>117</v>
      </c>
      <c r="G60" s="24">
        <f t="shared" si="43"/>
        <v>49070000</v>
      </c>
      <c r="H60" s="25">
        <f>+[13]SP!$F$24</f>
        <v>85000000</v>
      </c>
      <c r="I60" s="25">
        <f t="shared" si="53"/>
        <v>35930000</v>
      </c>
      <c r="J60" s="24"/>
      <c r="K60" s="24">
        <f>54000000-4930000</f>
        <v>49070000</v>
      </c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>
        <v>0</v>
      </c>
      <c r="AG60" s="27">
        <f t="shared" si="1"/>
        <v>0.99999989810474832</v>
      </c>
      <c r="AH60" s="24">
        <f t="shared" si="44"/>
        <v>49069995</v>
      </c>
      <c r="AI60" s="24"/>
      <c r="AJ60" s="24">
        <f>+[2]OCTUBRE!$K$3587</f>
        <v>49069995</v>
      </c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7">
        <f t="shared" si="12"/>
        <v>1.018952516806948E-7</v>
      </c>
      <c r="BG60" s="24">
        <f t="shared" si="45"/>
        <v>5</v>
      </c>
      <c r="BH60" s="24">
        <f t="shared" si="46"/>
        <v>0</v>
      </c>
      <c r="BI60" s="24">
        <f t="shared" si="46"/>
        <v>5</v>
      </c>
      <c r="BJ60" s="24">
        <f t="shared" si="46"/>
        <v>0</v>
      </c>
      <c r="BK60" s="24">
        <f t="shared" si="46"/>
        <v>0</v>
      </c>
      <c r="BL60" s="24">
        <f t="shared" si="46"/>
        <v>0</v>
      </c>
      <c r="BM60" s="24">
        <f t="shared" si="46"/>
        <v>0</v>
      </c>
      <c r="BN60" s="24">
        <f t="shared" si="46"/>
        <v>0</v>
      </c>
      <c r="BO60" s="24">
        <f t="shared" si="46"/>
        <v>0</v>
      </c>
      <c r="BP60" s="24">
        <f t="shared" si="46"/>
        <v>0</v>
      </c>
      <c r="BQ60" s="24">
        <f t="shared" si="46"/>
        <v>0</v>
      </c>
      <c r="BR60" s="24">
        <f t="shared" si="46"/>
        <v>0</v>
      </c>
      <c r="BS60" s="24">
        <f t="shared" si="46"/>
        <v>0</v>
      </c>
      <c r="BT60" s="24">
        <f t="shared" si="46"/>
        <v>0</v>
      </c>
      <c r="BU60" s="24">
        <f t="shared" si="46"/>
        <v>0</v>
      </c>
      <c r="BV60" s="24">
        <f t="shared" si="46"/>
        <v>0</v>
      </c>
      <c r="BW60" s="24">
        <f t="shared" si="46"/>
        <v>0</v>
      </c>
      <c r="BX60" s="24">
        <f t="shared" si="47"/>
        <v>0</v>
      </c>
      <c r="BY60" s="24">
        <f t="shared" si="47"/>
        <v>0</v>
      </c>
      <c r="BZ60" s="24">
        <f t="shared" si="47"/>
        <v>0</v>
      </c>
      <c r="CA60" s="24">
        <f t="shared" si="47"/>
        <v>0</v>
      </c>
      <c r="CB60" s="24">
        <f t="shared" si="47"/>
        <v>0</v>
      </c>
      <c r="CC60" s="24">
        <f t="shared" si="47"/>
        <v>0</v>
      </c>
      <c r="CD60" s="24">
        <f t="shared" si="47"/>
        <v>0</v>
      </c>
      <c r="CE60" s="27">
        <f t="shared" si="48"/>
        <v>0.83696747503566338</v>
      </c>
      <c r="CF60" s="24">
        <f t="shared" si="49"/>
        <v>41069994</v>
      </c>
      <c r="CG60" s="24"/>
      <c r="CH60" s="24">
        <f>+[8]AGOSTO!$H$3009</f>
        <v>41069994</v>
      </c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7">
        <f t="shared" si="8"/>
        <v>0.16303252496433662</v>
      </c>
      <c r="DE60" s="24">
        <f t="shared" si="50"/>
        <v>8000006</v>
      </c>
      <c r="DF60" s="24">
        <f t="shared" si="51"/>
        <v>0</v>
      </c>
      <c r="DG60" s="24">
        <f t="shared" si="51"/>
        <v>8000006</v>
      </c>
      <c r="DH60" s="24">
        <f t="shared" si="51"/>
        <v>0</v>
      </c>
      <c r="DI60" s="24">
        <f t="shared" si="51"/>
        <v>0</v>
      </c>
      <c r="DJ60" s="24">
        <f t="shared" si="51"/>
        <v>0</v>
      </c>
      <c r="DK60" s="24">
        <f t="shared" si="51"/>
        <v>0</v>
      </c>
      <c r="DL60" s="24">
        <f t="shared" si="51"/>
        <v>0</v>
      </c>
      <c r="DM60" s="24">
        <f t="shared" si="51"/>
        <v>0</v>
      </c>
      <c r="DN60" s="24">
        <f t="shared" si="51"/>
        <v>0</v>
      </c>
      <c r="DO60" s="24">
        <f t="shared" si="51"/>
        <v>0</v>
      </c>
      <c r="DP60" s="24">
        <f t="shared" si="51"/>
        <v>0</v>
      </c>
      <c r="DQ60" s="24">
        <f t="shared" si="51"/>
        <v>0</v>
      </c>
      <c r="DR60" s="24">
        <f t="shared" si="51"/>
        <v>0</v>
      </c>
      <c r="DS60" s="24">
        <f t="shared" si="51"/>
        <v>0</v>
      </c>
      <c r="DT60" s="24">
        <f t="shared" si="51"/>
        <v>0</v>
      </c>
      <c r="DU60" s="24">
        <f t="shared" si="51"/>
        <v>0</v>
      </c>
      <c r="DV60" s="24">
        <f t="shared" si="52"/>
        <v>0</v>
      </c>
      <c r="DW60" s="24">
        <f t="shared" si="52"/>
        <v>0</v>
      </c>
      <c r="DX60" s="24">
        <f t="shared" si="52"/>
        <v>0</v>
      </c>
      <c r="DY60" s="24">
        <f t="shared" si="52"/>
        <v>0</v>
      </c>
      <c r="DZ60" s="24">
        <f t="shared" si="52"/>
        <v>0</v>
      </c>
      <c r="EA60" s="24">
        <f t="shared" si="52"/>
        <v>0</v>
      </c>
      <c r="EB60" s="24">
        <f t="shared" si="52"/>
        <v>0</v>
      </c>
      <c r="ED60" s="150"/>
      <c r="EE60" s="45">
        <f t="shared" si="32"/>
        <v>49070000</v>
      </c>
      <c r="EF60" s="45">
        <f t="shared" si="33"/>
        <v>41069994</v>
      </c>
      <c r="EG60" s="159">
        <f t="shared" si="34"/>
        <v>0.83696747503566338</v>
      </c>
    </row>
    <row r="61" spans="1:137" ht="16.899999999999999" hidden="1" customHeight="1" x14ac:dyDescent="0.25">
      <c r="A61" s="233"/>
      <c r="B61" s="231"/>
      <c r="C61" s="189" t="s">
        <v>195</v>
      </c>
      <c r="D61" s="33" t="s">
        <v>196</v>
      </c>
      <c r="E61" s="33">
        <v>520</v>
      </c>
      <c r="F61" s="188" t="s">
        <v>117</v>
      </c>
      <c r="G61" s="24">
        <f t="shared" si="43"/>
        <v>52570750</v>
      </c>
      <c r="H61" s="25">
        <f>+[13]SP!$F$29</f>
        <v>168000000</v>
      </c>
      <c r="I61" s="25">
        <f t="shared" si="53"/>
        <v>115429250</v>
      </c>
      <c r="J61" s="24"/>
      <c r="K61" s="24">
        <f>64000000+16407500-27836750</f>
        <v>52570750</v>
      </c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>
        <v>0</v>
      </c>
      <c r="AG61" s="27">
        <f t="shared" si="1"/>
        <v>0.78636884579352584</v>
      </c>
      <c r="AH61" s="24">
        <f t="shared" si="44"/>
        <v>41340000</v>
      </c>
      <c r="AI61" s="24"/>
      <c r="AJ61" s="24">
        <f>+[4]JULIO!$K$2859</f>
        <v>41340000</v>
      </c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7">
        <f t="shared" si="12"/>
        <v>0.21363115420647416</v>
      </c>
      <c r="BG61" s="24">
        <f t="shared" si="45"/>
        <v>11230750</v>
      </c>
      <c r="BH61" s="24">
        <f t="shared" si="46"/>
        <v>0</v>
      </c>
      <c r="BI61" s="24">
        <f t="shared" si="46"/>
        <v>11230750</v>
      </c>
      <c r="BJ61" s="24">
        <f t="shared" si="46"/>
        <v>0</v>
      </c>
      <c r="BK61" s="24">
        <f t="shared" si="46"/>
        <v>0</v>
      </c>
      <c r="BL61" s="24">
        <f t="shared" si="46"/>
        <v>0</v>
      </c>
      <c r="BM61" s="24">
        <f t="shared" si="46"/>
        <v>0</v>
      </c>
      <c r="BN61" s="24">
        <f t="shared" si="46"/>
        <v>0</v>
      </c>
      <c r="BO61" s="24">
        <f t="shared" si="46"/>
        <v>0</v>
      </c>
      <c r="BP61" s="24">
        <f t="shared" si="46"/>
        <v>0</v>
      </c>
      <c r="BQ61" s="24">
        <f t="shared" si="46"/>
        <v>0</v>
      </c>
      <c r="BR61" s="24">
        <f t="shared" si="46"/>
        <v>0</v>
      </c>
      <c r="BS61" s="24">
        <f t="shared" si="46"/>
        <v>0</v>
      </c>
      <c r="BT61" s="24">
        <f t="shared" si="46"/>
        <v>0</v>
      </c>
      <c r="BU61" s="24">
        <f t="shared" si="46"/>
        <v>0</v>
      </c>
      <c r="BV61" s="24">
        <f t="shared" si="46"/>
        <v>0</v>
      </c>
      <c r="BW61" s="24">
        <f t="shared" si="46"/>
        <v>0</v>
      </c>
      <c r="BX61" s="24">
        <f t="shared" si="47"/>
        <v>0</v>
      </c>
      <c r="BY61" s="24">
        <f t="shared" si="47"/>
        <v>0</v>
      </c>
      <c r="BZ61" s="24">
        <f t="shared" si="47"/>
        <v>0</v>
      </c>
      <c r="CA61" s="24">
        <f t="shared" si="47"/>
        <v>0</v>
      </c>
      <c r="CB61" s="24">
        <f t="shared" si="47"/>
        <v>0</v>
      </c>
      <c r="CC61" s="24">
        <f t="shared" si="47"/>
        <v>0</v>
      </c>
      <c r="CD61" s="24">
        <f t="shared" si="47"/>
        <v>0</v>
      </c>
      <c r="CE61" s="27">
        <f t="shared" si="48"/>
        <v>0.63172009149574626</v>
      </c>
      <c r="CF61" s="24">
        <f t="shared" si="49"/>
        <v>33209999</v>
      </c>
      <c r="CG61" s="24"/>
      <c r="CH61" s="24">
        <f>+[4]JULIO!$H$2857</f>
        <v>33209999</v>
      </c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7">
        <f t="shared" si="8"/>
        <v>0.36827990850425374</v>
      </c>
      <c r="DE61" s="24">
        <f t="shared" si="50"/>
        <v>19360751</v>
      </c>
      <c r="DF61" s="24">
        <f t="shared" si="51"/>
        <v>0</v>
      </c>
      <c r="DG61" s="24">
        <f t="shared" si="51"/>
        <v>19360751</v>
      </c>
      <c r="DH61" s="24">
        <f t="shared" si="51"/>
        <v>0</v>
      </c>
      <c r="DI61" s="24">
        <f t="shared" si="51"/>
        <v>0</v>
      </c>
      <c r="DJ61" s="24">
        <f t="shared" si="51"/>
        <v>0</v>
      </c>
      <c r="DK61" s="24">
        <f t="shared" si="51"/>
        <v>0</v>
      </c>
      <c r="DL61" s="24">
        <f t="shared" si="51"/>
        <v>0</v>
      </c>
      <c r="DM61" s="24">
        <f t="shared" si="51"/>
        <v>0</v>
      </c>
      <c r="DN61" s="24">
        <f t="shared" si="51"/>
        <v>0</v>
      </c>
      <c r="DO61" s="24">
        <f t="shared" si="51"/>
        <v>0</v>
      </c>
      <c r="DP61" s="24">
        <f t="shared" si="51"/>
        <v>0</v>
      </c>
      <c r="DQ61" s="24">
        <f t="shared" si="51"/>
        <v>0</v>
      </c>
      <c r="DR61" s="24">
        <f t="shared" si="51"/>
        <v>0</v>
      </c>
      <c r="DS61" s="24">
        <f t="shared" si="51"/>
        <v>0</v>
      </c>
      <c r="DT61" s="24">
        <f t="shared" si="51"/>
        <v>0</v>
      </c>
      <c r="DU61" s="24">
        <f t="shared" si="51"/>
        <v>0</v>
      </c>
      <c r="DV61" s="24">
        <f t="shared" si="52"/>
        <v>0</v>
      </c>
      <c r="DW61" s="24">
        <f t="shared" si="52"/>
        <v>0</v>
      </c>
      <c r="DX61" s="24">
        <f t="shared" si="52"/>
        <v>0</v>
      </c>
      <c r="DY61" s="24">
        <f t="shared" si="52"/>
        <v>0</v>
      </c>
      <c r="DZ61" s="24">
        <f t="shared" si="52"/>
        <v>0</v>
      </c>
      <c r="EA61" s="24">
        <f t="shared" si="52"/>
        <v>0</v>
      </c>
      <c r="EB61" s="24">
        <f t="shared" si="52"/>
        <v>0</v>
      </c>
      <c r="ED61" s="150"/>
      <c r="EE61" s="45">
        <f t="shared" si="32"/>
        <v>52570750</v>
      </c>
      <c r="EF61" s="45">
        <f t="shared" si="33"/>
        <v>33209999</v>
      </c>
      <c r="EG61" s="159">
        <f t="shared" si="34"/>
        <v>0.63172009149574626</v>
      </c>
    </row>
    <row r="62" spans="1:137" ht="19.149999999999999" hidden="1" customHeight="1" x14ac:dyDescent="0.25">
      <c r="A62" s="233"/>
      <c r="B62" s="229"/>
      <c r="C62" s="189" t="s">
        <v>197</v>
      </c>
      <c r="D62" s="33" t="s">
        <v>198</v>
      </c>
      <c r="E62" s="33">
        <v>520</v>
      </c>
      <c r="F62" s="188" t="s">
        <v>117</v>
      </c>
      <c r="G62" s="24">
        <f t="shared" si="43"/>
        <v>40000000</v>
      </c>
      <c r="H62" s="25">
        <f>+[13]SP!$F$31</f>
        <v>76000000</v>
      </c>
      <c r="I62" s="25">
        <f t="shared" si="53"/>
        <v>36000000</v>
      </c>
      <c r="J62" s="24"/>
      <c r="K62" s="24">
        <v>30000000</v>
      </c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>
        <v>10000000</v>
      </c>
      <c r="AB62" s="24"/>
      <c r="AC62" s="24"/>
      <c r="AD62" s="24"/>
      <c r="AE62" s="24"/>
      <c r="AF62" s="24">
        <v>0</v>
      </c>
      <c r="AG62" s="27">
        <f t="shared" si="1"/>
        <v>1</v>
      </c>
      <c r="AH62" s="24">
        <f t="shared" si="44"/>
        <v>40000000</v>
      </c>
      <c r="AI62" s="24"/>
      <c r="AJ62" s="24">
        <f>+'[9]ENERO 2020'!$K$3436</f>
        <v>30000000</v>
      </c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>
        <f>+[3]SEPTIEMBRE!$AA$3418</f>
        <v>10000000</v>
      </c>
      <c r="BA62" s="24"/>
      <c r="BB62" s="24"/>
      <c r="BC62" s="24"/>
      <c r="BD62" s="24"/>
      <c r="BE62" s="24"/>
      <c r="BF62" s="27">
        <f t="shared" si="12"/>
        <v>0</v>
      </c>
      <c r="BG62" s="24">
        <f t="shared" si="45"/>
        <v>0</v>
      </c>
      <c r="BH62" s="24">
        <f t="shared" si="46"/>
        <v>0</v>
      </c>
      <c r="BI62" s="24">
        <f t="shared" si="46"/>
        <v>0</v>
      </c>
      <c r="BJ62" s="24">
        <f t="shared" si="46"/>
        <v>0</v>
      </c>
      <c r="BK62" s="24">
        <f t="shared" si="46"/>
        <v>0</v>
      </c>
      <c r="BL62" s="24">
        <f t="shared" si="46"/>
        <v>0</v>
      </c>
      <c r="BM62" s="24">
        <f t="shared" si="46"/>
        <v>0</v>
      </c>
      <c r="BN62" s="24">
        <f t="shared" si="46"/>
        <v>0</v>
      </c>
      <c r="BO62" s="24">
        <f t="shared" si="46"/>
        <v>0</v>
      </c>
      <c r="BP62" s="24">
        <f t="shared" si="46"/>
        <v>0</v>
      </c>
      <c r="BQ62" s="24">
        <f t="shared" si="46"/>
        <v>0</v>
      </c>
      <c r="BR62" s="24">
        <f t="shared" si="46"/>
        <v>0</v>
      </c>
      <c r="BS62" s="24">
        <f t="shared" si="46"/>
        <v>0</v>
      </c>
      <c r="BT62" s="24">
        <f t="shared" si="46"/>
        <v>0</v>
      </c>
      <c r="BU62" s="24">
        <f t="shared" si="46"/>
        <v>0</v>
      </c>
      <c r="BV62" s="24">
        <f t="shared" si="46"/>
        <v>0</v>
      </c>
      <c r="BW62" s="24">
        <f t="shared" si="46"/>
        <v>0</v>
      </c>
      <c r="BX62" s="24">
        <f t="shared" si="47"/>
        <v>0</v>
      </c>
      <c r="BY62" s="24">
        <f t="shared" si="47"/>
        <v>0</v>
      </c>
      <c r="BZ62" s="24">
        <f t="shared" si="47"/>
        <v>0</v>
      </c>
      <c r="CA62" s="24">
        <f t="shared" si="47"/>
        <v>0</v>
      </c>
      <c r="CB62" s="24">
        <f t="shared" si="47"/>
        <v>0</v>
      </c>
      <c r="CC62" s="24">
        <f t="shared" si="47"/>
        <v>0</v>
      </c>
      <c r="CD62" s="24">
        <f t="shared" si="47"/>
        <v>0</v>
      </c>
      <c r="CE62" s="27">
        <f t="shared" si="48"/>
        <v>0.92716662500000002</v>
      </c>
      <c r="CF62" s="24">
        <f t="shared" si="49"/>
        <v>37086665</v>
      </c>
      <c r="CG62" s="24"/>
      <c r="CH62" s="24">
        <f>+[4]JULIO!$H$2875</f>
        <v>27086665</v>
      </c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>
        <f>+[2]OCTUBRE!$H$3654</f>
        <v>10000000</v>
      </c>
      <c r="CY62" s="24"/>
      <c r="CZ62" s="24"/>
      <c r="DA62" s="24"/>
      <c r="DB62" s="24"/>
      <c r="DC62" s="24"/>
      <c r="DD62" s="27">
        <f t="shared" si="8"/>
        <v>7.2833374999999978E-2</v>
      </c>
      <c r="DE62" s="24">
        <f t="shared" si="50"/>
        <v>2913335</v>
      </c>
      <c r="DF62" s="24">
        <f t="shared" si="51"/>
        <v>0</v>
      </c>
      <c r="DG62" s="24">
        <f t="shared" si="51"/>
        <v>2913335</v>
      </c>
      <c r="DH62" s="24">
        <f t="shared" si="51"/>
        <v>0</v>
      </c>
      <c r="DI62" s="24">
        <f t="shared" si="51"/>
        <v>0</v>
      </c>
      <c r="DJ62" s="24">
        <f t="shared" si="51"/>
        <v>0</v>
      </c>
      <c r="DK62" s="24">
        <f t="shared" si="51"/>
        <v>0</v>
      </c>
      <c r="DL62" s="24">
        <f t="shared" si="51"/>
        <v>0</v>
      </c>
      <c r="DM62" s="24">
        <f t="shared" si="51"/>
        <v>0</v>
      </c>
      <c r="DN62" s="24">
        <f t="shared" si="51"/>
        <v>0</v>
      </c>
      <c r="DO62" s="24">
        <f t="shared" si="51"/>
        <v>0</v>
      </c>
      <c r="DP62" s="24">
        <f t="shared" si="51"/>
        <v>0</v>
      </c>
      <c r="DQ62" s="24">
        <f t="shared" si="51"/>
        <v>0</v>
      </c>
      <c r="DR62" s="24">
        <f t="shared" si="51"/>
        <v>0</v>
      </c>
      <c r="DS62" s="24">
        <f t="shared" si="51"/>
        <v>0</v>
      </c>
      <c r="DT62" s="24">
        <f t="shared" si="51"/>
        <v>0</v>
      </c>
      <c r="DU62" s="24">
        <f t="shared" si="51"/>
        <v>0</v>
      </c>
      <c r="DV62" s="24">
        <f t="shared" si="52"/>
        <v>0</v>
      </c>
      <c r="DW62" s="24">
        <f t="shared" si="52"/>
        <v>0</v>
      </c>
      <c r="DX62" s="24">
        <f t="shared" si="52"/>
        <v>0</v>
      </c>
      <c r="DY62" s="24">
        <f t="shared" si="52"/>
        <v>0</v>
      </c>
      <c r="DZ62" s="24">
        <f t="shared" si="52"/>
        <v>0</v>
      </c>
      <c r="EA62" s="24">
        <f t="shared" si="52"/>
        <v>0</v>
      </c>
      <c r="EB62" s="24">
        <f t="shared" si="52"/>
        <v>0</v>
      </c>
      <c r="ED62" s="150"/>
      <c r="EE62" s="45">
        <f t="shared" si="32"/>
        <v>40000000</v>
      </c>
      <c r="EF62" s="45">
        <f t="shared" si="33"/>
        <v>37086665</v>
      </c>
      <c r="EG62" s="159">
        <f t="shared" si="34"/>
        <v>0.92716662500000002</v>
      </c>
    </row>
    <row r="63" spans="1:137" ht="72" hidden="1" customHeight="1" x14ac:dyDescent="0.25">
      <c r="A63" s="233"/>
      <c r="B63" s="228" t="s">
        <v>199</v>
      </c>
      <c r="C63" s="189" t="s">
        <v>200</v>
      </c>
      <c r="D63" s="33" t="s">
        <v>201</v>
      </c>
      <c r="E63" s="33">
        <v>520</v>
      </c>
      <c r="F63" s="188" t="s">
        <v>202</v>
      </c>
      <c r="G63" s="24">
        <f t="shared" si="43"/>
        <v>1050691994</v>
      </c>
      <c r="H63" s="25">
        <f>+[13]SP!$F$40+[13]SP!$F$41+[13]SP!$F$42</f>
        <v>1250000000</v>
      </c>
      <c r="I63" s="25">
        <f t="shared" si="53"/>
        <v>199308006</v>
      </c>
      <c r="J63" s="47"/>
      <c r="K63" s="24">
        <f>50000000+25885908</f>
        <v>75885908</v>
      </c>
      <c r="L63" s="24"/>
      <c r="M63" s="24"/>
      <c r="N63" s="47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>
        <v>105041496</v>
      </c>
      <c r="AB63" s="24">
        <f>240938503+43019134</f>
        <v>283957637</v>
      </c>
      <c r="AC63" s="24"/>
      <c r="AD63" s="24"/>
      <c r="AE63" s="24"/>
      <c r="AF63" s="26">
        <f>318303570+140000000-24000000+20000000+73603383+6900000+40000000+18000000-7000000</f>
        <v>585806953</v>
      </c>
      <c r="AG63" s="27">
        <f t="shared" si="1"/>
        <v>0.94409915623664686</v>
      </c>
      <c r="AH63" s="24">
        <f t="shared" si="44"/>
        <v>991957425</v>
      </c>
      <c r="AI63" s="24"/>
      <c r="AJ63" s="24">
        <f>+[8]AGOSTO!$K$3107</f>
        <v>75885908</v>
      </c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>
        <f>+[2]OCTUBRE!$AA$3686</f>
        <v>78117019</v>
      </c>
      <c r="BA63" s="24">
        <f>+[2]OCTUBRE!$AB$3686</f>
        <v>277047545</v>
      </c>
      <c r="BB63" s="24"/>
      <c r="BC63" s="24"/>
      <c r="BD63" s="24"/>
      <c r="BE63" s="24">
        <f>+[2]OCTUBRE!$AG$3686</f>
        <v>560906953</v>
      </c>
      <c r="BF63" s="27">
        <f t="shared" si="12"/>
        <v>5.5900843763353136E-2</v>
      </c>
      <c r="BG63" s="24">
        <f t="shared" si="45"/>
        <v>58734569</v>
      </c>
      <c r="BH63" s="24">
        <f t="shared" si="46"/>
        <v>0</v>
      </c>
      <c r="BI63" s="24">
        <f t="shared" si="46"/>
        <v>0</v>
      </c>
      <c r="BJ63" s="24">
        <f t="shared" si="46"/>
        <v>0</v>
      </c>
      <c r="BK63" s="24">
        <f t="shared" si="46"/>
        <v>0</v>
      </c>
      <c r="BL63" s="24">
        <f t="shared" si="46"/>
        <v>0</v>
      </c>
      <c r="BM63" s="24">
        <f t="shared" si="46"/>
        <v>0</v>
      </c>
      <c r="BN63" s="24">
        <f t="shared" si="46"/>
        <v>0</v>
      </c>
      <c r="BO63" s="24">
        <f t="shared" si="46"/>
        <v>0</v>
      </c>
      <c r="BP63" s="24">
        <f t="shared" si="46"/>
        <v>0</v>
      </c>
      <c r="BQ63" s="24">
        <f t="shared" si="46"/>
        <v>0</v>
      </c>
      <c r="BR63" s="24">
        <f t="shared" si="46"/>
        <v>0</v>
      </c>
      <c r="BS63" s="24">
        <f t="shared" si="46"/>
        <v>0</v>
      </c>
      <c r="BT63" s="24">
        <f t="shared" si="46"/>
        <v>0</v>
      </c>
      <c r="BU63" s="24">
        <f t="shared" si="46"/>
        <v>0</v>
      </c>
      <c r="BV63" s="24">
        <f t="shared" si="46"/>
        <v>0</v>
      </c>
      <c r="BW63" s="24">
        <f t="shared" si="46"/>
        <v>0</v>
      </c>
      <c r="BX63" s="24">
        <f t="shared" si="47"/>
        <v>0</v>
      </c>
      <c r="BY63" s="24">
        <f t="shared" si="47"/>
        <v>26924477</v>
      </c>
      <c r="BZ63" s="24">
        <f t="shared" si="47"/>
        <v>6910092</v>
      </c>
      <c r="CA63" s="24">
        <f t="shared" si="47"/>
        <v>0</v>
      </c>
      <c r="CB63" s="24">
        <f t="shared" si="47"/>
        <v>0</v>
      </c>
      <c r="CC63" s="24">
        <f t="shared" si="47"/>
        <v>0</v>
      </c>
      <c r="CD63" s="24">
        <f t="shared" si="47"/>
        <v>24900000</v>
      </c>
      <c r="CE63" s="27">
        <f t="shared" si="48"/>
        <v>0.75153234488241472</v>
      </c>
      <c r="CF63" s="24">
        <f t="shared" si="49"/>
        <v>789629018</v>
      </c>
      <c r="CG63" s="24"/>
      <c r="CH63" s="24">
        <f>+[2]OCTUBRE!$H$3737+[2]OCTUBRE!$H$3741+[2]OCTUBRE!$H$3745+[2]OCTUBRE!$H$3750+[2]OCTUBRE!$H$3755+[2]OCTUBRE!$G$4077</f>
        <v>75885902</v>
      </c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>
        <f>+[2]OCTUBRE!$H$4131+[2]OCTUBRE!$H$4133+[2]OCTUBRE!$H$4135+[2]OCTUBRE!$H$4137+[2]OCTUBRE!$H$4139+[2]OCTUBRE!$H$4141+[2]OCTUBRE!$H$4143+[2]OCTUBRE!$H$4145+[2]OCTUBRE!$H$4173</f>
        <v>64100000</v>
      </c>
      <c r="CY63" s="24">
        <f>+[2]OCTUBRE!$H$3815+[2]OCTUBRE!$H$3819+[2]OCTUBRE!$H$3824+[2]OCTUBRE!$H$3830+[2]OCTUBRE!$H$3835+[2]OCTUBRE!$H$3846+[2]OCTUBRE!$H$3861+[2]OCTUBRE!$H$3870+[2]OCTUBRE!$H$3888+[2]OCTUBRE!$H$3891+[2]OCTUBRE!$H$3902+[2]OCTUBRE!$H$3907+[2]OCTUBRE!$H$3915+[2]OCTUBRE!$H$3926+[2]OCTUBRE!$H$3935+[2]OCTUBRE!$H$3955+[2]OCTUBRE!$H$3959+[2]OCTUBRE!$H$3963+[2]OCTUBRE!$H$3966+[2]OCTUBRE!$H$3969+[2]OCTUBRE!$H$3972+[2]OCTUBRE!$H$3975+[2]OCTUBRE!$H$3984+[2]OCTUBRE!$H$3993+[2]OCTUBRE!$H$3998+[2]OCTUBRE!$H$4004+[2]OCTUBRE!$H$4008+[2]OCTUBRE!$H$4032+[2]OCTUBRE!$H$4039+[2]OCTUBRE!$H$4042+[2]OCTUBRE!$H$4046+[2]OCTUBRE!$H$4063+[2]OCTUBRE!$H$4068+[2]OCTUBRE!$H$4072+[2]OCTUBRE!$H$4093+[2]OCTUBRE!$H$4110+[2]OCTUBRE!$H$4119+[2]OCTUBRE!$H$4124+[2]OCTUBRE!$H$4159+[2]OCTUBRE!$H$4162+[2]OCTUBRE!$H$4165+[2]OCTUBRE!$H$4168+[2]OCTUBRE!$H$4176+[2]OCTUBRE!$H$4178+[2]OCTUBRE!$H$4195-2285907</f>
        <v>171636319</v>
      </c>
      <c r="CZ63" s="24"/>
      <c r="DA63" s="24"/>
      <c r="DB63" s="24"/>
      <c r="DC63" s="24">
        <f>+[2]OCTUBRE!$H$3687+[2]OCTUBRE!$H$3708+[2]OCTUBRE!$H$3722+[2]OCTUBRE!$H$3758+[2]OCTUBRE!$H$3784+[2]OCTUBRE!$H$4015+[2]OCTUBRE!$H$4025+[2]OCTUBRE!$H$4181</f>
        <v>478006797</v>
      </c>
      <c r="DD63" s="27">
        <f t="shared" si="8"/>
        <v>0.24846765511758528</v>
      </c>
      <c r="DE63" s="24">
        <f t="shared" si="50"/>
        <v>261062976</v>
      </c>
      <c r="DF63" s="24">
        <f t="shared" si="51"/>
        <v>0</v>
      </c>
      <c r="DG63" s="24">
        <f t="shared" si="51"/>
        <v>6</v>
      </c>
      <c r="DH63" s="24">
        <f t="shared" si="51"/>
        <v>0</v>
      </c>
      <c r="DI63" s="24">
        <f t="shared" si="51"/>
        <v>0</v>
      </c>
      <c r="DJ63" s="24">
        <f t="shared" si="51"/>
        <v>0</v>
      </c>
      <c r="DK63" s="24">
        <f t="shared" si="51"/>
        <v>0</v>
      </c>
      <c r="DL63" s="24">
        <f t="shared" si="51"/>
        <v>0</v>
      </c>
      <c r="DM63" s="24">
        <f t="shared" si="51"/>
        <v>0</v>
      </c>
      <c r="DN63" s="24">
        <f t="shared" si="51"/>
        <v>0</v>
      </c>
      <c r="DO63" s="24">
        <f t="shared" si="51"/>
        <v>0</v>
      </c>
      <c r="DP63" s="24">
        <f t="shared" si="51"/>
        <v>0</v>
      </c>
      <c r="DQ63" s="24">
        <f t="shared" si="51"/>
        <v>0</v>
      </c>
      <c r="DR63" s="24">
        <f t="shared" si="51"/>
        <v>0</v>
      </c>
      <c r="DS63" s="24">
        <f t="shared" si="51"/>
        <v>0</v>
      </c>
      <c r="DT63" s="24">
        <f t="shared" si="51"/>
        <v>0</v>
      </c>
      <c r="DU63" s="24">
        <f t="shared" si="51"/>
        <v>0</v>
      </c>
      <c r="DV63" s="24">
        <f t="shared" si="52"/>
        <v>0</v>
      </c>
      <c r="DW63" s="24">
        <f t="shared" si="52"/>
        <v>40941496</v>
      </c>
      <c r="DX63" s="24">
        <f t="shared" si="52"/>
        <v>112321318</v>
      </c>
      <c r="DY63" s="24">
        <f t="shared" si="52"/>
        <v>0</v>
      </c>
      <c r="DZ63" s="24">
        <f t="shared" si="52"/>
        <v>0</v>
      </c>
      <c r="EA63" s="24">
        <f t="shared" si="52"/>
        <v>0</v>
      </c>
      <c r="EB63" s="24">
        <f t="shared" si="52"/>
        <v>107800156</v>
      </c>
      <c r="ED63" s="150"/>
      <c r="EE63" s="45">
        <f t="shared" si="32"/>
        <v>1050691994</v>
      </c>
      <c r="EF63" s="45">
        <f t="shared" si="33"/>
        <v>789629018</v>
      </c>
      <c r="EG63" s="159">
        <f t="shared" si="34"/>
        <v>0.75153234488241472</v>
      </c>
    </row>
    <row r="64" spans="1:137" ht="21" hidden="1" customHeight="1" x14ac:dyDescent="0.25">
      <c r="A64" s="233"/>
      <c r="B64" s="231"/>
      <c r="C64" s="189" t="s">
        <v>203</v>
      </c>
      <c r="D64" s="33" t="s">
        <v>204</v>
      </c>
      <c r="E64" s="33">
        <v>520</v>
      </c>
      <c r="F64" s="188" t="s">
        <v>117</v>
      </c>
      <c r="G64" s="24">
        <f t="shared" si="43"/>
        <v>0</v>
      </c>
      <c r="H64" s="63">
        <f>+[13]SP!$F$43+[13]SP!$F$45+[13]SP!$F$47</f>
        <v>888000000</v>
      </c>
      <c r="I64" s="25">
        <f t="shared" si="53"/>
        <v>888000000</v>
      </c>
      <c r="J64" s="49"/>
      <c r="K64" s="24"/>
      <c r="L64" s="47"/>
      <c r="M64" s="47"/>
      <c r="N64" s="47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6">
        <v>0</v>
      </c>
      <c r="AG64" s="27" t="e">
        <f t="shared" si="1"/>
        <v>#DIV/0!</v>
      </c>
      <c r="AH64" s="24">
        <f t="shared" si="44"/>
        <v>0</v>
      </c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7" t="e">
        <f t="shared" si="12"/>
        <v>#DIV/0!</v>
      </c>
      <c r="BG64" s="24">
        <f t="shared" si="45"/>
        <v>0</v>
      </c>
      <c r="BH64" s="24">
        <f t="shared" si="46"/>
        <v>0</v>
      </c>
      <c r="BI64" s="24">
        <f t="shared" si="46"/>
        <v>0</v>
      </c>
      <c r="BJ64" s="24">
        <f t="shared" si="46"/>
        <v>0</v>
      </c>
      <c r="BK64" s="24">
        <f t="shared" si="46"/>
        <v>0</v>
      </c>
      <c r="BL64" s="24">
        <f t="shared" si="46"/>
        <v>0</v>
      </c>
      <c r="BM64" s="24">
        <f t="shared" si="46"/>
        <v>0</v>
      </c>
      <c r="BN64" s="24">
        <f t="shared" si="46"/>
        <v>0</v>
      </c>
      <c r="BO64" s="24">
        <f t="shared" si="46"/>
        <v>0</v>
      </c>
      <c r="BP64" s="24">
        <f t="shared" si="46"/>
        <v>0</v>
      </c>
      <c r="BQ64" s="24">
        <f t="shared" si="46"/>
        <v>0</v>
      </c>
      <c r="BR64" s="24">
        <f t="shared" si="46"/>
        <v>0</v>
      </c>
      <c r="BS64" s="24">
        <f t="shared" si="46"/>
        <v>0</v>
      </c>
      <c r="BT64" s="24">
        <f t="shared" si="46"/>
        <v>0</v>
      </c>
      <c r="BU64" s="24">
        <f t="shared" si="46"/>
        <v>0</v>
      </c>
      <c r="BV64" s="24">
        <f t="shared" si="46"/>
        <v>0</v>
      </c>
      <c r="BW64" s="24">
        <f t="shared" si="46"/>
        <v>0</v>
      </c>
      <c r="BX64" s="24">
        <f t="shared" si="47"/>
        <v>0</v>
      </c>
      <c r="BY64" s="24">
        <f t="shared" si="47"/>
        <v>0</v>
      </c>
      <c r="BZ64" s="24">
        <f t="shared" si="47"/>
        <v>0</v>
      </c>
      <c r="CA64" s="24">
        <f t="shared" si="47"/>
        <v>0</v>
      </c>
      <c r="CB64" s="24">
        <f t="shared" si="47"/>
        <v>0</v>
      </c>
      <c r="CC64" s="24">
        <f t="shared" si="47"/>
        <v>0</v>
      </c>
      <c r="CD64" s="24">
        <f t="shared" si="47"/>
        <v>0</v>
      </c>
      <c r="CE64" s="27" t="e">
        <f t="shared" si="48"/>
        <v>#DIV/0!</v>
      </c>
      <c r="CF64" s="24">
        <f t="shared" si="49"/>
        <v>0</v>
      </c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7" t="e">
        <f t="shared" si="8"/>
        <v>#DIV/0!</v>
      </c>
      <c r="DE64" s="24">
        <f t="shared" si="50"/>
        <v>0</v>
      </c>
      <c r="DF64" s="24">
        <f t="shared" si="51"/>
        <v>0</v>
      </c>
      <c r="DG64" s="24">
        <f t="shared" si="51"/>
        <v>0</v>
      </c>
      <c r="DH64" s="24">
        <f t="shared" si="51"/>
        <v>0</v>
      </c>
      <c r="DI64" s="24">
        <f t="shared" si="51"/>
        <v>0</v>
      </c>
      <c r="DJ64" s="24">
        <f t="shared" si="51"/>
        <v>0</v>
      </c>
      <c r="DK64" s="24">
        <f t="shared" si="51"/>
        <v>0</v>
      </c>
      <c r="DL64" s="24">
        <f t="shared" si="51"/>
        <v>0</v>
      </c>
      <c r="DM64" s="24">
        <f t="shared" si="51"/>
        <v>0</v>
      </c>
      <c r="DN64" s="24">
        <f t="shared" si="51"/>
        <v>0</v>
      </c>
      <c r="DO64" s="24">
        <f t="shared" si="51"/>
        <v>0</v>
      </c>
      <c r="DP64" s="24">
        <f t="shared" si="51"/>
        <v>0</v>
      </c>
      <c r="DQ64" s="24">
        <f t="shared" si="51"/>
        <v>0</v>
      </c>
      <c r="DR64" s="24">
        <f t="shared" si="51"/>
        <v>0</v>
      </c>
      <c r="DS64" s="24">
        <f t="shared" si="51"/>
        <v>0</v>
      </c>
      <c r="DT64" s="24">
        <f t="shared" si="51"/>
        <v>0</v>
      </c>
      <c r="DU64" s="24">
        <f t="shared" si="51"/>
        <v>0</v>
      </c>
      <c r="DV64" s="24">
        <f t="shared" si="52"/>
        <v>0</v>
      </c>
      <c r="DW64" s="24">
        <f t="shared" si="52"/>
        <v>0</v>
      </c>
      <c r="DX64" s="24">
        <f t="shared" si="52"/>
        <v>0</v>
      </c>
      <c r="DY64" s="24">
        <f t="shared" si="52"/>
        <v>0</v>
      </c>
      <c r="DZ64" s="24">
        <f t="shared" si="52"/>
        <v>0</v>
      </c>
      <c r="EA64" s="24">
        <f t="shared" si="52"/>
        <v>0</v>
      </c>
      <c r="EB64" s="24">
        <f t="shared" si="52"/>
        <v>0</v>
      </c>
      <c r="ED64" s="150"/>
      <c r="EE64" s="45">
        <f t="shared" si="32"/>
        <v>0</v>
      </c>
      <c r="EF64" s="45">
        <f t="shared" si="33"/>
        <v>0</v>
      </c>
      <c r="EG64" s="159" t="e">
        <f t="shared" si="34"/>
        <v>#DIV/0!</v>
      </c>
    </row>
    <row r="65" spans="1:137" ht="24" hidden="1" customHeight="1" x14ac:dyDescent="0.25">
      <c r="A65" s="233"/>
      <c r="B65" s="231"/>
      <c r="C65" s="189" t="s">
        <v>205</v>
      </c>
      <c r="D65" s="33" t="s">
        <v>206</v>
      </c>
      <c r="E65" s="33">
        <v>520</v>
      </c>
      <c r="F65" s="188" t="s">
        <v>207</v>
      </c>
      <c r="G65" s="24">
        <f t="shared" si="43"/>
        <v>80000000</v>
      </c>
      <c r="H65" s="25">
        <f>+[13]SP!$F$49</f>
        <v>420000000</v>
      </c>
      <c r="I65" s="25">
        <f t="shared" si="53"/>
        <v>340000000</v>
      </c>
      <c r="J65" s="47"/>
      <c r="K65" s="24">
        <f>25885908-25885908</f>
        <v>0</v>
      </c>
      <c r="L65" s="47"/>
      <c r="M65" s="47"/>
      <c r="N65" s="47"/>
      <c r="O65" s="47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6">
        <f>69000000+5000000-10000000+9000000+7000000</f>
        <v>80000000</v>
      </c>
      <c r="AG65" s="27">
        <f t="shared" si="1"/>
        <v>1</v>
      </c>
      <c r="AH65" s="24">
        <f t="shared" si="44"/>
        <v>80000000</v>
      </c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>
        <f>+[2]OCTUBRE!$AG$4231</f>
        <v>80000000</v>
      </c>
      <c r="BF65" s="27">
        <f t="shared" si="12"/>
        <v>0</v>
      </c>
      <c r="BG65" s="24">
        <f t="shared" si="45"/>
        <v>0</v>
      </c>
      <c r="BH65" s="24">
        <f t="shared" si="46"/>
        <v>0</v>
      </c>
      <c r="BI65" s="24">
        <f t="shared" si="46"/>
        <v>0</v>
      </c>
      <c r="BJ65" s="24">
        <f t="shared" si="46"/>
        <v>0</v>
      </c>
      <c r="BK65" s="24">
        <f t="shared" si="46"/>
        <v>0</v>
      </c>
      <c r="BL65" s="24">
        <f t="shared" si="46"/>
        <v>0</v>
      </c>
      <c r="BM65" s="24">
        <f t="shared" si="46"/>
        <v>0</v>
      </c>
      <c r="BN65" s="24">
        <f t="shared" si="46"/>
        <v>0</v>
      </c>
      <c r="BO65" s="24">
        <f t="shared" si="46"/>
        <v>0</v>
      </c>
      <c r="BP65" s="24">
        <f t="shared" si="46"/>
        <v>0</v>
      </c>
      <c r="BQ65" s="24">
        <f t="shared" si="46"/>
        <v>0</v>
      </c>
      <c r="BR65" s="24">
        <f t="shared" si="46"/>
        <v>0</v>
      </c>
      <c r="BS65" s="24">
        <f t="shared" si="46"/>
        <v>0</v>
      </c>
      <c r="BT65" s="24">
        <f t="shared" si="46"/>
        <v>0</v>
      </c>
      <c r="BU65" s="24">
        <f t="shared" si="46"/>
        <v>0</v>
      </c>
      <c r="BV65" s="24">
        <f t="shared" si="46"/>
        <v>0</v>
      </c>
      <c r="BW65" s="24">
        <f t="shared" si="46"/>
        <v>0</v>
      </c>
      <c r="BX65" s="24">
        <f t="shared" si="47"/>
        <v>0</v>
      </c>
      <c r="BY65" s="24">
        <f t="shared" si="47"/>
        <v>0</v>
      </c>
      <c r="BZ65" s="24">
        <f t="shared" si="47"/>
        <v>0</v>
      </c>
      <c r="CA65" s="24">
        <f t="shared" si="47"/>
        <v>0</v>
      </c>
      <c r="CB65" s="24">
        <f t="shared" si="47"/>
        <v>0</v>
      </c>
      <c r="CC65" s="24">
        <f t="shared" si="47"/>
        <v>0</v>
      </c>
      <c r="CD65" s="24">
        <f t="shared" si="47"/>
        <v>0</v>
      </c>
      <c r="CE65" s="27">
        <f t="shared" si="48"/>
        <v>0.67431718750000003</v>
      </c>
      <c r="CF65" s="24">
        <f t="shared" si="49"/>
        <v>53945375</v>
      </c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>
        <f>+[3]SEPTIEMBRE!$H$3956</f>
        <v>53945375</v>
      </c>
      <c r="DD65" s="27">
        <f t="shared" si="8"/>
        <v>0.32568281249999997</v>
      </c>
      <c r="DE65" s="24">
        <f t="shared" si="50"/>
        <v>26054625</v>
      </c>
      <c r="DF65" s="24">
        <f t="shared" si="51"/>
        <v>0</v>
      </c>
      <c r="DG65" s="24">
        <f t="shared" si="51"/>
        <v>0</v>
      </c>
      <c r="DH65" s="24">
        <f t="shared" si="51"/>
        <v>0</v>
      </c>
      <c r="DI65" s="24">
        <f t="shared" si="51"/>
        <v>0</v>
      </c>
      <c r="DJ65" s="24">
        <f t="shared" si="51"/>
        <v>0</v>
      </c>
      <c r="DK65" s="24">
        <f t="shared" si="51"/>
        <v>0</v>
      </c>
      <c r="DL65" s="24">
        <f t="shared" si="51"/>
        <v>0</v>
      </c>
      <c r="DM65" s="24">
        <f t="shared" si="51"/>
        <v>0</v>
      </c>
      <c r="DN65" s="24">
        <f t="shared" si="51"/>
        <v>0</v>
      </c>
      <c r="DO65" s="24">
        <f t="shared" si="51"/>
        <v>0</v>
      </c>
      <c r="DP65" s="24">
        <f t="shared" si="51"/>
        <v>0</v>
      </c>
      <c r="DQ65" s="24">
        <f t="shared" si="51"/>
        <v>0</v>
      </c>
      <c r="DR65" s="24">
        <f t="shared" si="51"/>
        <v>0</v>
      </c>
      <c r="DS65" s="24">
        <f t="shared" si="51"/>
        <v>0</v>
      </c>
      <c r="DT65" s="24">
        <f t="shared" si="51"/>
        <v>0</v>
      </c>
      <c r="DU65" s="24">
        <f t="shared" si="51"/>
        <v>0</v>
      </c>
      <c r="DV65" s="24">
        <f t="shared" si="52"/>
        <v>0</v>
      </c>
      <c r="DW65" s="24">
        <f t="shared" si="52"/>
        <v>0</v>
      </c>
      <c r="DX65" s="24">
        <f t="shared" si="52"/>
        <v>0</v>
      </c>
      <c r="DY65" s="24">
        <f t="shared" si="52"/>
        <v>0</v>
      </c>
      <c r="DZ65" s="24">
        <f t="shared" si="52"/>
        <v>0</v>
      </c>
      <c r="EA65" s="24">
        <f t="shared" si="52"/>
        <v>0</v>
      </c>
      <c r="EB65" s="24">
        <f t="shared" si="52"/>
        <v>26054625</v>
      </c>
      <c r="ED65" s="151" t="s">
        <v>382</v>
      </c>
      <c r="EE65" s="45">
        <f t="shared" si="32"/>
        <v>80000000</v>
      </c>
      <c r="EF65" s="45">
        <f t="shared" si="33"/>
        <v>53945375</v>
      </c>
      <c r="EG65" s="159">
        <f t="shared" si="34"/>
        <v>0.67431718750000003</v>
      </c>
    </row>
    <row r="66" spans="1:137" ht="21" hidden="1" customHeight="1" x14ac:dyDescent="0.25">
      <c r="A66" s="233"/>
      <c r="B66" s="231"/>
      <c r="C66" s="189" t="s">
        <v>208</v>
      </c>
      <c r="D66" s="33" t="s">
        <v>209</v>
      </c>
      <c r="E66" s="33">
        <v>520</v>
      </c>
      <c r="F66" s="188" t="s">
        <v>117</v>
      </c>
      <c r="G66" s="24">
        <f t="shared" si="43"/>
        <v>1500000000</v>
      </c>
      <c r="H66" s="25">
        <f>+[13]SP!$F$51</f>
        <v>1530000000</v>
      </c>
      <c r="I66" s="25">
        <f t="shared" si="53"/>
        <v>30000000</v>
      </c>
      <c r="J66" s="47"/>
      <c r="K66" s="24"/>
      <c r="L66" s="47"/>
      <c r="M66" s="47"/>
      <c r="N66" s="47"/>
      <c r="O66" s="47"/>
      <c r="P66" s="24"/>
      <c r="Q66" s="24"/>
      <c r="R66" s="24"/>
      <c r="S66" s="24"/>
      <c r="T66" s="24"/>
      <c r="U66" s="24"/>
      <c r="V66" s="24"/>
      <c r="W66" s="24"/>
      <c r="X66" s="24"/>
      <c r="Y66" s="24">
        <v>1500000000</v>
      </c>
      <c r="Z66" s="24"/>
      <c r="AA66" s="24"/>
      <c r="AB66" s="24"/>
      <c r="AC66" s="24"/>
      <c r="AD66" s="24"/>
      <c r="AE66" s="24"/>
      <c r="AF66" s="24">
        <v>0</v>
      </c>
      <c r="AG66" s="27">
        <f t="shared" si="1"/>
        <v>0.27000961933333334</v>
      </c>
      <c r="AH66" s="24">
        <f t="shared" si="44"/>
        <v>405014429</v>
      </c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>
        <f>+[3]SEPTIEMBRE!$Y$3988</f>
        <v>405014429</v>
      </c>
      <c r="AY66" s="24"/>
      <c r="AZ66" s="24"/>
      <c r="BA66" s="24"/>
      <c r="BB66" s="24"/>
      <c r="BC66" s="24"/>
      <c r="BD66" s="24"/>
      <c r="BE66" s="24"/>
      <c r="BF66" s="27">
        <f t="shared" si="12"/>
        <v>0.72999038066666666</v>
      </c>
      <c r="BG66" s="24">
        <f t="shared" si="45"/>
        <v>1094985571</v>
      </c>
      <c r="BH66" s="24">
        <f t="shared" si="46"/>
        <v>0</v>
      </c>
      <c r="BI66" s="24">
        <f t="shared" si="46"/>
        <v>0</v>
      </c>
      <c r="BJ66" s="24">
        <f t="shared" si="46"/>
        <v>0</v>
      </c>
      <c r="BK66" s="24">
        <f t="shared" si="46"/>
        <v>0</v>
      </c>
      <c r="BL66" s="24">
        <f t="shared" si="46"/>
        <v>0</v>
      </c>
      <c r="BM66" s="24">
        <f t="shared" si="46"/>
        <v>0</v>
      </c>
      <c r="BN66" s="24">
        <f t="shared" si="46"/>
        <v>0</v>
      </c>
      <c r="BO66" s="24">
        <f t="shared" si="46"/>
        <v>0</v>
      </c>
      <c r="BP66" s="24">
        <f t="shared" si="46"/>
        <v>0</v>
      </c>
      <c r="BQ66" s="24">
        <f t="shared" si="46"/>
        <v>0</v>
      </c>
      <c r="BR66" s="24">
        <f t="shared" si="46"/>
        <v>0</v>
      </c>
      <c r="BS66" s="24">
        <f t="shared" si="46"/>
        <v>0</v>
      </c>
      <c r="BT66" s="24">
        <f t="shared" si="46"/>
        <v>0</v>
      </c>
      <c r="BU66" s="24">
        <f t="shared" si="46"/>
        <v>0</v>
      </c>
      <c r="BV66" s="24">
        <f t="shared" si="46"/>
        <v>0</v>
      </c>
      <c r="BW66" s="24">
        <f t="shared" ref="BW66:BW76" si="54">+Y66-AX66</f>
        <v>1094985571</v>
      </c>
      <c r="BX66" s="24">
        <f t="shared" si="47"/>
        <v>0</v>
      </c>
      <c r="BY66" s="24">
        <f t="shared" si="47"/>
        <v>0</v>
      </c>
      <c r="BZ66" s="24">
        <f t="shared" si="47"/>
        <v>0</v>
      </c>
      <c r="CA66" s="24">
        <f t="shared" si="47"/>
        <v>0</v>
      </c>
      <c r="CB66" s="24">
        <f t="shared" si="47"/>
        <v>0</v>
      </c>
      <c r="CC66" s="24">
        <f t="shared" si="47"/>
        <v>0</v>
      </c>
      <c r="CD66" s="24">
        <f t="shared" si="47"/>
        <v>0</v>
      </c>
      <c r="CE66" s="27">
        <f t="shared" si="48"/>
        <v>0.12221584066666667</v>
      </c>
      <c r="CF66" s="24">
        <f t="shared" si="49"/>
        <v>183323761</v>
      </c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>
        <f>+[2]OCTUBRE!$H$4259</f>
        <v>183323761</v>
      </c>
      <c r="CW66" s="24"/>
      <c r="CX66" s="24"/>
      <c r="CY66" s="24"/>
      <c r="CZ66" s="24"/>
      <c r="DA66" s="24"/>
      <c r="DB66" s="24"/>
      <c r="DC66" s="24"/>
      <c r="DD66" s="27">
        <f t="shared" si="8"/>
        <v>0.87778415933333331</v>
      </c>
      <c r="DE66" s="24">
        <f t="shared" si="50"/>
        <v>1316676239</v>
      </c>
      <c r="DF66" s="24">
        <f t="shared" si="51"/>
        <v>0</v>
      </c>
      <c r="DG66" s="24">
        <f t="shared" si="51"/>
        <v>0</v>
      </c>
      <c r="DH66" s="24">
        <f t="shared" si="51"/>
        <v>0</v>
      </c>
      <c r="DI66" s="24">
        <f t="shared" si="51"/>
        <v>0</v>
      </c>
      <c r="DJ66" s="24">
        <f t="shared" si="51"/>
        <v>0</v>
      </c>
      <c r="DK66" s="24">
        <f t="shared" si="51"/>
        <v>0</v>
      </c>
      <c r="DL66" s="24">
        <f t="shared" si="51"/>
        <v>0</v>
      </c>
      <c r="DM66" s="24">
        <f t="shared" si="51"/>
        <v>0</v>
      </c>
      <c r="DN66" s="24">
        <f t="shared" si="51"/>
        <v>0</v>
      </c>
      <c r="DO66" s="24">
        <f t="shared" si="51"/>
        <v>0</v>
      </c>
      <c r="DP66" s="24">
        <f t="shared" si="51"/>
        <v>0</v>
      </c>
      <c r="DQ66" s="24">
        <f t="shared" si="51"/>
        <v>0</v>
      </c>
      <c r="DR66" s="24">
        <f t="shared" si="51"/>
        <v>0</v>
      </c>
      <c r="DS66" s="24">
        <f t="shared" si="51"/>
        <v>0</v>
      </c>
      <c r="DT66" s="24">
        <f t="shared" si="51"/>
        <v>0</v>
      </c>
      <c r="DU66" s="24">
        <f t="shared" ref="DU66:DU76" si="55">+Y66-CV66</f>
        <v>1316676239</v>
      </c>
      <c r="DV66" s="24">
        <f t="shared" si="52"/>
        <v>0</v>
      </c>
      <c r="DW66" s="24">
        <f t="shared" si="52"/>
        <v>0</v>
      </c>
      <c r="DX66" s="24">
        <f t="shared" si="52"/>
        <v>0</v>
      </c>
      <c r="DY66" s="24">
        <f t="shared" si="52"/>
        <v>0</v>
      </c>
      <c r="DZ66" s="24">
        <f t="shared" si="52"/>
        <v>0</v>
      </c>
      <c r="EA66" s="24">
        <f t="shared" si="52"/>
        <v>0</v>
      </c>
      <c r="EB66" s="24">
        <f t="shared" si="52"/>
        <v>0</v>
      </c>
      <c r="ED66" s="150"/>
      <c r="EE66" s="45">
        <f t="shared" si="32"/>
        <v>1500000000</v>
      </c>
      <c r="EF66" s="45">
        <f t="shared" si="33"/>
        <v>183323761</v>
      </c>
      <c r="EG66" s="159">
        <f t="shared" si="34"/>
        <v>0.12221584066666667</v>
      </c>
    </row>
    <row r="67" spans="1:137" ht="30.75" hidden="1" customHeight="1" x14ac:dyDescent="0.25">
      <c r="A67" s="233"/>
      <c r="B67" s="229"/>
      <c r="C67" s="189" t="s">
        <v>210</v>
      </c>
      <c r="D67" s="33" t="s">
        <v>211</v>
      </c>
      <c r="E67" s="33">
        <v>520</v>
      </c>
      <c r="F67" s="188" t="s">
        <v>212</v>
      </c>
      <c r="G67" s="24">
        <f t="shared" si="43"/>
        <v>127820092</v>
      </c>
      <c r="H67" s="25">
        <f>+[13]SP!$F$53</f>
        <v>200000000</v>
      </c>
      <c r="I67" s="25">
        <f t="shared" si="53"/>
        <v>72179908</v>
      </c>
      <c r="J67" s="47"/>
      <c r="K67" s="24">
        <v>50000000</v>
      </c>
      <c r="L67" s="24"/>
      <c r="M67" s="24"/>
      <c r="N67" s="47"/>
      <c r="O67" s="47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>
        <f>50000000+19820092</f>
        <v>69820092</v>
      </c>
      <c r="AB67" s="24"/>
      <c r="AC67" s="24"/>
      <c r="AD67" s="24"/>
      <c r="AE67" s="24"/>
      <c r="AF67" s="24">
        <f>3000000+5000000</f>
        <v>8000000</v>
      </c>
      <c r="AG67" s="27">
        <f t="shared" si="1"/>
        <v>0.93741203065320899</v>
      </c>
      <c r="AH67" s="24">
        <f t="shared" si="44"/>
        <v>119820092</v>
      </c>
      <c r="AI67" s="24"/>
      <c r="AJ67" s="24">
        <f>+'[6]MARZO 2020'!$K$4364</f>
        <v>50000000</v>
      </c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>
        <f>+[2]OCTUBRE!$AA$4295</f>
        <v>69820092</v>
      </c>
      <c r="BA67" s="24"/>
      <c r="BB67" s="24"/>
      <c r="BC67" s="24"/>
      <c r="BD67" s="24"/>
      <c r="BE67" s="24"/>
      <c r="BF67" s="27">
        <f t="shared" si="12"/>
        <v>6.2587969346791006E-2</v>
      </c>
      <c r="BG67" s="24">
        <f t="shared" si="45"/>
        <v>8000000</v>
      </c>
      <c r="BH67" s="24">
        <f t="shared" ref="BH67:BV76" si="56">+J67-AI67</f>
        <v>0</v>
      </c>
      <c r="BI67" s="24">
        <f t="shared" si="56"/>
        <v>0</v>
      </c>
      <c r="BJ67" s="24">
        <f t="shared" si="56"/>
        <v>0</v>
      </c>
      <c r="BK67" s="24">
        <f t="shared" si="56"/>
        <v>0</v>
      </c>
      <c r="BL67" s="24">
        <f t="shared" si="56"/>
        <v>0</v>
      </c>
      <c r="BM67" s="24">
        <f t="shared" si="56"/>
        <v>0</v>
      </c>
      <c r="BN67" s="24">
        <f t="shared" si="56"/>
        <v>0</v>
      </c>
      <c r="BO67" s="24">
        <f t="shared" si="56"/>
        <v>0</v>
      </c>
      <c r="BP67" s="24">
        <f t="shared" si="56"/>
        <v>0</v>
      </c>
      <c r="BQ67" s="24">
        <f t="shared" si="56"/>
        <v>0</v>
      </c>
      <c r="BR67" s="24">
        <f t="shared" si="56"/>
        <v>0</v>
      </c>
      <c r="BS67" s="24">
        <f t="shared" si="56"/>
        <v>0</v>
      </c>
      <c r="BT67" s="24">
        <f t="shared" si="56"/>
        <v>0</v>
      </c>
      <c r="BU67" s="24">
        <f t="shared" si="56"/>
        <v>0</v>
      </c>
      <c r="BV67" s="24">
        <f t="shared" si="56"/>
        <v>0</v>
      </c>
      <c r="BW67" s="24">
        <f t="shared" si="54"/>
        <v>0</v>
      </c>
      <c r="BX67" s="24">
        <f t="shared" si="47"/>
        <v>0</v>
      </c>
      <c r="BY67" s="24">
        <f t="shared" si="47"/>
        <v>0</v>
      </c>
      <c r="BZ67" s="24">
        <f t="shared" si="47"/>
        <v>0</v>
      </c>
      <c r="CA67" s="24">
        <f t="shared" si="47"/>
        <v>0</v>
      </c>
      <c r="CB67" s="24">
        <f t="shared" si="47"/>
        <v>0</v>
      </c>
      <c r="CC67" s="24">
        <f t="shared" si="47"/>
        <v>0</v>
      </c>
      <c r="CD67" s="24">
        <f t="shared" si="47"/>
        <v>8000000</v>
      </c>
      <c r="CE67" s="27">
        <f t="shared" si="48"/>
        <v>0.58407970008345789</v>
      </c>
      <c r="CF67" s="24">
        <f t="shared" si="49"/>
        <v>74657121</v>
      </c>
      <c r="CG67" s="24"/>
      <c r="CH67" s="24">
        <f>+'[11]ABRIL 2020'!$H$4492+'[11]ABRIL 2020'!$H$4502+'[11]ABRIL 2020'!$H$4511+'[11]ABRIL 2020'!$H$4515</f>
        <v>50000000</v>
      </c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>
        <f>+[2]OCTUBRE!$H$4293-CH67</f>
        <v>24657121</v>
      </c>
      <c r="CY67" s="24"/>
      <c r="CZ67" s="24"/>
      <c r="DA67" s="24"/>
      <c r="DB67" s="24"/>
      <c r="DC67" s="24"/>
      <c r="DD67" s="27">
        <f t="shared" si="8"/>
        <v>0.41592029991654211</v>
      </c>
      <c r="DE67" s="24">
        <f t="shared" si="50"/>
        <v>53162971</v>
      </c>
      <c r="DF67" s="24">
        <f t="shared" ref="DF67:DT76" si="57">+J67-CG67</f>
        <v>0</v>
      </c>
      <c r="DG67" s="24">
        <f t="shared" si="57"/>
        <v>0</v>
      </c>
      <c r="DH67" s="24">
        <f t="shared" si="57"/>
        <v>0</v>
      </c>
      <c r="DI67" s="24">
        <f t="shared" si="57"/>
        <v>0</v>
      </c>
      <c r="DJ67" s="24">
        <f t="shared" si="57"/>
        <v>0</v>
      </c>
      <c r="DK67" s="24">
        <f t="shared" si="57"/>
        <v>0</v>
      </c>
      <c r="DL67" s="24">
        <f t="shared" si="57"/>
        <v>0</v>
      </c>
      <c r="DM67" s="24">
        <f t="shared" si="57"/>
        <v>0</v>
      </c>
      <c r="DN67" s="24">
        <f t="shared" si="57"/>
        <v>0</v>
      </c>
      <c r="DO67" s="24">
        <f t="shared" si="57"/>
        <v>0</v>
      </c>
      <c r="DP67" s="24">
        <f t="shared" si="57"/>
        <v>0</v>
      </c>
      <c r="DQ67" s="24">
        <f t="shared" si="57"/>
        <v>0</v>
      </c>
      <c r="DR67" s="24">
        <f t="shared" si="57"/>
        <v>0</v>
      </c>
      <c r="DS67" s="24">
        <f t="shared" si="57"/>
        <v>0</v>
      </c>
      <c r="DT67" s="24">
        <f t="shared" si="57"/>
        <v>0</v>
      </c>
      <c r="DU67" s="24">
        <f t="shared" si="55"/>
        <v>0</v>
      </c>
      <c r="DV67" s="24">
        <f t="shared" si="52"/>
        <v>0</v>
      </c>
      <c r="DW67" s="24">
        <f t="shared" si="52"/>
        <v>45162971</v>
      </c>
      <c r="DX67" s="24">
        <f t="shared" si="52"/>
        <v>0</v>
      </c>
      <c r="DY67" s="24">
        <f t="shared" si="52"/>
        <v>0</v>
      </c>
      <c r="DZ67" s="24">
        <f t="shared" si="52"/>
        <v>0</v>
      </c>
      <c r="EA67" s="24">
        <f t="shared" si="52"/>
        <v>0</v>
      </c>
      <c r="EB67" s="24">
        <f t="shared" si="52"/>
        <v>8000000</v>
      </c>
      <c r="ED67" s="150"/>
      <c r="EE67" s="45">
        <f t="shared" si="32"/>
        <v>127820092</v>
      </c>
      <c r="EF67" s="45">
        <f t="shared" si="33"/>
        <v>74657121</v>
      </c>
      <c r="EG67" s="159">
        <f t="shared" si="34"/>
        <v>0.58407970008345789</v>
      </c>
    </row>
    <row r="68" spans="1:137" ht="19.149999999999999" hidden="1" customHeight="1" x14ac:dyDescent="0.25">
      <c r="A68" s="232" t="s">
        <v>170</v>
      </c>
      <c r="B68" s="228" t="s">
        <v>213</v>
      </c>
      <c r="C68" s="189" t="s">
        <v>214</v>
      </c>
      <c r="D68" s="33" t="s">
        <v>215</v>
      </c>
      <c r="E68" s="33">
        <v>520</v>
      </c>
      <c r="F68" s="188" t="s">
        <v>117</v>
      </c>
      <c r="G68" s="24">
        <f t="shared" si="43"/>
        <v>120359196</v>
      </c>
      <c r="H68" s="25">
        <f>+[13]SP!$F$59</f>
        <v>154600000</v>
      </c>
      <c r="I68" s="25">
        <f t="shared" si="53"/>
        <v>34240804</v>
      </c>
      <c r="J68" s="47"/>
      <c r="K68" s="24">
        <f>70000000+19859196</f>
        <v>89859196</v>
      </c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>
        <v>25500000</v>
      </c>
      <c r="AB68" s="24"/>
      <c r="AC68" s="24"/>
      <c r="AD68" s="24"/>
      <c r="AE68" s="24"/>
      <c r="AF68" s="26">
        <v>5000000</v>
      </c>
      <c r="AG68" s="27">
        <f t="shared" si="1"/>
        <v>0.95014921834472876</v>
      </c>
      <c r="AH68" s="24">
        <f t="shared" si="44"/>
        <v>114359196</v>
      </c>
      <c r="AI68" s="24"/>
      <c r="AJ68" s="24">
        <f>+[4]JULIO!$K$3397</f>
        <v>83859196</v>
      </c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>
        <f>+[3]SEPTIEMBRE!$AA$4084</f>
        <v>25500000</v>
      </c>
      <c r="BA68" s="24"/>
      <c r="BB68" s="24"/>
      <c r="BC68" s="24"/>
      <c r="BD68" s="24"/>
      <c r="BE68" s="24">
        <f>+[2]OCTUBRE!$AG$4361</f>
        <v>5000000</v>
      </c>
      <c r="BF68" s="27">
        <f t="shared" si="12"/>
        <v>4.9850781655271237E-2</v>
      </c>
      <c r="BG68" s="24">
        <f t="shared" si="45"/>
        <v>6000000</v>
      </c>
      <c r="BH68" s="24">
        <f t="shared" si="56"/>
        <v>0</v>
      </c>
      <c r="BI68" s="24">
        <f t="shared" si="56"/>
        <v>6000000</v>
      </c>
      <c r="BJ68" s="24">
        <f t="shared" si="56"/>
        <v>0</v>
      </c>
      <c r="BK68" s="24">
        <f t="shared" si="56"/>
        <v>0</v>
      </c>
      <c r="BL68" s="24">
        <f t="shared" si="56"/>
        <v>0</v>
      </c>
      <c r="BM68" s="24">
        <f t="shared" si="56"/>
        <v>0</v>
      </c>
      <c r="BN68" s="24">
        <f t="shared" si="56"/>
        <v>0</v>
      </c>
      <c r="BO68" s="24">
        <f t="shared" si="56"/>
        <v>0</v>
      </c>
      <c r="BP68" s="24">
        <f t="shared" si="56"/>
        <v>0</v>
      </c>
      <c r="BQ68" s="24">
        <f t="shared" si="56"/>
        <v>0</v>
      </c>
      <c r="BR68" s="24">
        <f t="shared" si="56"/>
        <v>0</v>
      </c>
      <c r="BS68" s="24">
        <f t="shared" si="56"/>
        <v>0</v>
      </c>
      <c r="BT68" s="24">
        <f t="shared" si="56"/>
        <v>0</v>
      </c>
      <c r="BU68" s="24">
        <f t="shared" si="56"/>
        <v>0</v>
      </c>
      <c r="BV68" s="24">
        <f t="shared" si="56"/>
        <v>0</v>
      </c>
      <c r="BW68" s="24">
        <f t="shared" si="54"/>
        <v>0</v>
      </c>
      <c r="BX68" s="24">
        <f t="shared" si="47"/>
        <v>0</v>
      </c>
      <c r="BY68" s="24">
        <f t="shared" si="47"/>
        <v>0</v>
      </c>
      <c r="BZ68" s="24">
        <f t="shared" si="47"/>
        <v>0</v>
      </c>
      <c r="CA68" s="24">
        <f t="shared" si="47"/>
        <v>0</v>
      </c>
      <c r="CB68" s="24">
        <f t="shared" si="47"/>
        <v>0</v>
      </c>
      <c r="CC68" s="24">
        <f t="shared" si="47"/>
        <v>0</v>
      </c>
      <c r="CD68" s="24">
        <f t="shared" si="47"/>
        <v>0</v>
      </c>
      <c r="CE68" s="27">
        <f t="shared" si="48"/>
        <v>0.83919128206871707</v>
      </c>
      <c r="CF68" s="24">
        <f t="shared" si="49"/>
        <v>101004388</v>
      </c>
      <c r="CG68" s="24"/>
      <c r="CH68" s="24">
        <f>+[2]OCTUBRE!$H$4362+[2]OCTUBRE!$H$4368+[2]OCTUBRE!$H$4374+[2]OCTUBRE!$H$4378+[2]OCTUBRE!$H$4381</f>
        <v>76204388</v>
      </c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>
        <f>+[2]OCTUBRE!$H$4359-CH68</f>
        <v>24800000</v>
      </c>
      <c r="CY68" s="24"/>
      <c r="CZ68" s="24"/>
      <c r="DA68" s="24"/>
      <c r="DB68" s="24"/>
      <c r="DC68" s="24"/>
      <c r="DD68" s="27">
        <f t="shared" si="8"/>
        <v>0.16080871793128293</v>
      </c>
      <c r="DE68" s="24">
        <f t="shared" si="50"/>
        <v>19354808</v>
      </c>
      <c r="DF68" s="24">
        <f t="shared" si="57"/>
        <v>0</v>
      </c>
      <c r="DG68" s="24">
        <f t="shared" si="57"/>
        <v>13654808</v>
      </c>
      <c r="DH68" s="24">
        <f t="shared" si="57"/>
        <v>0</v>
      </c>
      <c r="DI68" s="24">
        <f t="shared" si="57"/>
        <v>0</v>
      </c>
      <c r="DJ68" s="24">
        <f t="shared" si="57"/>
        <v>0</v>
      </c>
      <c r="DK68" s="24">
        <f t="shared" si="57"/>
        <v>0</v>
      </c>
      <c r="DL68" s="24">
        <f t="shared" si="57"/>
        <v>0</v>
      </c>
      <c r="DM68" s="24">
        <f t="shared" si="57"/>
        <v>0</v>
      </c>
      <c r="DN68" s="24">
        <f t="shared" si="57"/>
        <v>0</v>
      </c>
      <c r="DO68" s="24">
        <f t="shared" si="57"/>
        <v>0</v>
      </c>
      <c r="DP68" s="24">
        <f t="shared" si="57"/>
        <v>0</v>
      </c>
      <c r="DQ68" s="24">
        <f t="shared" si="57"/>
        <v>0</v>
      </c>
      <c r="DR68" s="24">
        <f t="shared" si="57"/>
        <v>0</v>
      </c>
      <c r="DS68" s="24">
        <f t="shared" si="57"/>
        <v>0</v>
      </c>
      <c r="DT68" s="24">
        <f t="shared" si="57"/>
        <v>0</v>
      </c>
      <c r="DU68" s="24">
        <f t="shared" si="55"/>
        <v>0</v>
      </c>
      <c r="DV68" s="24">
        <f t="shared" si="52"/>
        <v>0</v>
      </c>
      <c r="DW68" s="24">
        <f t="shared" si="52"/>
        <v>700000</v>
      </c>
      <c r="DX68" s="24">
        <f t="shared" si="52"/>
        <v>0</v>
      </c>
      <c r="DY68" s="24">
        <f t="shared" si="52"/>
        <v>0</v>
      </c>
      <c r="DZ68" s="24">
        <f t="shared" si="52"/>
        <v>0</v>
      </c>
      <c r="EA68" s="24">
        <f t="shared" si="52"/>
        <v>0</v>
      </c>
      <c r="EB68" s="24">
        <f t="shared" si="52"/>
        <v>5000000</v>
      </c>
      <c r="ED68" s="150"/>
      <c r="EE68" s="45">
        <f t="shared" si="32"/>
        <v>120359196</v>
      </c>
      <c r="EF68" s="45">
        <f t="shared" si="33"/>
        <v>101004388</v>
      </c>
      <c r="EG68" s="159">
        <f t="shared" si="34"/>
        <v>0.83919128206871707</v>
      </c>
    </row>
    <row r="69" spans="1:137" ht="20.45" hidden="1" customHeight="1" x14ac:dyDescent="0.25">
      <c r="A69" s="233"/>
      <c r="B69" s="231"/>
      <c r="C69" s="189" t="s">
        <v>216</v>
      </c>
      <c r="D69" s="33" t="s">
        <v>217</v>
      </c>
      <c r="E69" s="33">
        <v>520</v>
      </c>
      <c r="F69" s="188" t="s">
        <v>117</v>
      </c>
      <c r="G69" s="24">
        <f t="shared" si="43"/>
        <v>112600000</v>
      </c>
      <c r="H69" s="25">
        <f>+[13]SP!$F$62</f>
        <v>148300000</v>
      </c>
      <c r="I69" s="25">
        <f t="shared" si="53"/>
        <v>35700000</v>
      </c>
      <c r="J69" s="47"/>
      <c r="K69" s="24">
        <v>60000000</v>
      </c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49"/>
      <c r="AA69" s="24">
        <v>52600000</v>
      </c>
      <c r="AB69" s="24"/>
      <c r="AC69" s="24"/>
      <c r="AD69" s="24"/>
      <c r="AE69" s="24"/>
      <c r="AF69" s="26">
        <v>0</v>
      </c>
      <c r="AG69" s="27">
        <f t="shared" si="1"/>
        <v>0.97254884547069276</v>
      </c>
      <c r="AH69" s="24">
        <f t="shared" si="44"/>
        <v>109509000</v>
      </c>
      <c r="AI69" s="24"/>
      <c r="AJ69" s="24">
        <f>+[2]OCTUBRE!$K$4396</f>
        <v>56909000</v>
      </c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>
        <f>+[3]SEPTIEMBRE!$AA$4113</f>
        <v>52600000</v>
      </c>
      <c r="BA69" s="24"/>
      <c r="BB69" s="24"/>
      <c r="BC69" s="24"/>
      <c r="BD69" s="24"/>
      <c r="BE69" s="24"/>
      <c r="BF69" s="27">
        <f t="shared" si="12"/>
        <v>2.7451154529307242E-2</v>
      </c>
      <c r="BG69" s="24">
        <f t="shared" si="45"/>
        <v>3091000</v>
      </c>
      <c r="BH69" s="24">
        <f t="shared" si="56"/>
        <v>0</v>
      </c>
      <c r="BI69" s="24">
        <f t="shared" si="56"/>
        <v>3091000</v>
      </c>
      <c r="BJ69" s="24">
        <f t="shared" si="56"/>
        <v>0</v>
      </c>
      <c r="BK69" s="24">
        <f t="shared" si="56"/>
        <v>0</v>
      </c>
      <c r="BL69" s="24">
        <f t="shared" si="56"/>
        <v>0</v>
      </c>
      <c r="BM69" s="24">
        <f t="shared" si="56"/>
        <v>0</v>
      </c>
      <c r="BN69" s="24">
        <f t="shared" si="56"/>
        <v>0</v>
      </c>
      <c r="BO69" s="24">
        <f t="shared" si="56"/>
        <v>0</v>
      </c>
      <c r="BP69" s="24">
        <f t="shared" si="56"/>
        <v>0</v>
      </c>
      <c r="BQ69" s="24">
        <f t="shared" si="56"/>
        <v>0</v>
      </c>
      <c r="BR69" s="24">
        <f t="shared" si="56"/>
        <v>0</v>
      </c>
      <c r="BS69" s="24">
        <f t="shared" si="56"/>
        <v>0</v>
      </c>
      <c r="BT69" s="24">
        <f t="shared" si="56"/>
        <v>0</v>
      </c>
      <c r="BU69" s="24">
        <f t="shared" si="56"/>
        <v>0</v>
      </c>
      <c r="BV69" s="24">
        <f t="shared" si="56"/>
        <v>0</v>
      </c>
      <c r="BW69" s="24">
        <f t="shared" si="54"/>
        <v>0</v>
      </c>
      <c r="BX69" s="24">
        <f t="shared" si="47"/>
        <v>0</v>
      </c>
      <c r="BY69" s="24">
        <f t="shared" si="47"/>
        <v>0</v>
      </c>
      <c r="BZ69" s="24">
        <f t="shared" si="47"/>
        <v>0</v>
      </c>
      <c r="CA69" s="24">
        <f t="shared" si="47"/>
        <v>0</v>
      </c>
      <c r="CB69" s="24">
        <f t="shared" si="47"/>
        <v>0</v>
      </c>
      <c r="CC69" s="24">
        <f t="shared" si="47"/>
        <v>0</v>
      </c>
      <c r="CD69" s="24">
        <f t="shared" si="47"/>
        <v>0</v>
      </c>
      <c r="CE69" s="27">
        <f t="shared" si="48"/>
        <v>0.75052395204262878</v>
      </c>
      <c r="CF69" s="24">
        <f t="shared" si="49"/>
        <v>84508997</v>
      </c>
      <c r="CG69" s="24"/>
      <c r="CH69" s="24">
        <f>+[2]OCTUBRE!$H$4397+[2]OCTUBRE!$H$4403+[2]OCTUBRE!$H$4409</f>
        <v>56909000</v>
      </c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>
        <f>+[2]OCTUBRE!$H$4394-CH69</f>
        <v>27599997</v>
      </c>
      <c r="CY69" s="24"/>
      <c r="CZ69" s="24"/>
      <c r="DA69" s="24"/>
      <c r="DB69" s="24"/>
      <c r="DC69" s="24"/>
      <c r="DD69" s="27">
        <f t="shared" si="8"/>
        <v>0.24947604795737122</v>
      </c>
      <c r="DE69" s="24">
        <f t="shared" si="50"/>
        <v>28091003</v>
      </c>
      <c r="DF69" s="24">
        <f t="shared" si="57"/>
        <v>0</v>
      </c>
      <c r="DG69" s="24">
        <f t="shared" si="57"/>
        <v>3091000</v>
      </c>
      <c r="DH69" s="24">
        <f t="shared" si="57"/>
        <v>0</v>
      </c>
      <c r="DI69" s="24">
        <f t="shared" si="57"/>
        <v>0</v>
      </c>
      <c r="DJ69" s="24">
        <f t="shared" si="57"/>
        <v>0</v>
      </c>
      <c r="DK69" s="24">
        <f t="shared" si="57"/>
        <v>0</v>
      </c>
      <c r="DL69" s="24">
        <f t="shared" si="57"/>
        <v>0</v>
      </c>
      <c r="DM69" s="24">
        <f t="shared" si="57"/>
        <v>0</v>
      </c>
      <c r="DN69" s="24">
        <f t="shared" si="57"/>
        <v>0</v>
      </c>
      <c r="DO69" s="24">
        <f t="shared" si="57"/>
        <v>0</v>
      </c>
      <c r="DP69" s="24">
        <f t="shared" si="57"/>
        <v>0</v>
      </c>
      <c r="DQ69" s="24">
        <f t="shared" si="57"/>
        <v>0</v>
      </c>
      <c r="DR69" s="24">
        <f t="shared" si="57"/>
        <v>0</v>
      </c>
      <c r="DS69" s="24">
        <f t="shared" si="57"/>
        <v>0</v>
      </c>
      <c r="DT69" s="24">
        <f t="shared" si="57"/>
        <v>0</v>
      </c>
      <c r="DU69" s="24">
        <f t="shared" si="55"/>
        <v>0</v>
      </c>
      <c r="DV69" s="24">
        <f t="shared" si="52"/>
        <v>0</v>
      </c>
      <c r="DW69" s="24">
        <f t="shared" si="52"/>
        <v>25000003</v>
      </c>
      <c r="DX69" s="24">
        <f t="shared" si="52"/>
        <v>0</v>
      </c>
      <c r="DY69" s="24">
        <f t="shared" si="52"/>
        <v>0</v>
      </c>
      <c r="DZ69" s="24">
        <f t="shared" si="52"/>
        <v>0</v>
      </c>
      <c r="EA69" s="24">
        <f t="shared" si="52"/>
        <v>0</v>
      </c>
      <c r="EB69" s="24">
        <f t="shared" si="52"/>
        <v>0</v>
      </c>
      <c r="ED69" s="150"/>
      <c r="EE69" s="45">
        <f t="shared" si="32"/>
        <v>112600000</v>
      </c>
      <c r="EF69" s="45">
        <f t="shared" si="33"/>
        <v>84508997</v>
      </c>
      <c r="EG69" s="159">
        <f t="shared" si="34"/>
        <v>0.75052395204262878</v>
      </c>
    </row>
    <row r="70" spans="1:137" ht="17.45" hidden="1" customHeight="1" x14ac:dyDescent="0.25">
      <c r="A70" s="233"/>
      <c r="B70" s="231"/>
      <c r="C70" s="189" t="s">
        <v>218</v>
      </c>
      <c r="D70" s="33" t="s">
        <v>219</v>
      </c>
      <c r="E70" s="33">
        <v>520</v>
      </c>
      <c r="F70" s="188" t="s">
        <v>117</v>
      </c>
      <c r="G70" s="24">
        <f t="shared" si="43"/>
        <v>76066666</v>
      </c>
      <c r="H70" s="25">
        <f>+[13]SP!$F$63</f>
        <v>90200000</v>
      </c>
      <c r="I70" s="25">
        <f t="shared" si="53"/>
        <v>14133334</v>
      </c>
      <c r="J70" s="47"/>
      <c r="K70" s="24">
        <v>50000000</v>
      </c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49"/>
      <c r="AA70" s="24">
        <f>26066666</f>
        <v>26066666</v>
      </c>
      <c r="AB70" s="24"/>
      <c r="AC70" s="24"/>
      <c r="AD70" s="24"/>
      <c r="AE70" s="24"/>
      <c r="AF70" s="26">
        <v>0</v>
      </c>
      <c r="AG70" s="27">
        <f t="shared" ref="AG70:AG129" si="58">AH70/G70</f>
        <v>0.88168273340650949</v>
      </c>
      <c r="AH70" s="24">
        <f t="shared" si="44"/>
        <v>67066666</v>
      </c>
      <c r="AI70" s="24"/>
      <c r="AJ70" s="24">
        <f>+[2]OCTUBRE!$K$4423</f>
        <v>41000000</v>
      </c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>
        <f>+[3]SEPTIEMBRE!$AA$4136</f>
        <v>26066666</v>
      </c>
      <c r="BA70" s="24"/>
      <c r="BB70" s="24"/>
      <c r="BC70" s="24"/>
      <c r="BD70" s="24"/>
      <c r="BE70" s="24"/>
      <c r="BF70" s="27">
        <f t="shared" si="12"/>
        <v>0.11831726659349051</v>
      </c>
      <c r="BG70" s="24">
        <f t="shared" si="45"/>
        <v>9000000</v>
      </c>
      <c r="BH70" s="24">
        <f t="shared" si="56"/>
        <v>0</v>
      </c>
      <c r="BI70" s="24">
        <f t="shared" si="56"/>
        <v>9000000</v>
      </c>
      <c r="BJ70" s="24">
        <f t="shared" si="56"/>
        <v>0</v>
      </c>
      <c r="BK70" s="24">
        <f t="shared" si="56"/>
        <v>0</v>
      </c>
      <c r="BL70" s="24">
        <f t="shared" si="56"/>
        <v>0</v>
      </c>
      <c r="BM70" s="24">
        <f t="shared" si="56"/>
        <v>0</v>
      </c>
      <c r="BN70" s="24">
        <f t="shared" si="56"/>
        <v>0</v>
      </c>
      <c r="BO70" s="24">
        <f t="shared" si="56"/>
        <v>0</v>
      </c>
      <c r="BP70" s="24">
        <f t="shared" si="56"/>
        <v>0</v>
      </c>
      <c r="BQ70" s="24">
        <f t="shared" si="56"/>
        <v>0</v>
      </c>
      <c r="BR70" s="24">
        <f t="shared" si="56"/>
        <v>0</v>
      </c>
      <c r="BS70" s="24">
        <f t="shared" si="56"/>
        <v>0</v>
      </c>
      <c r="BT70" s="24">
        <f t="shared" si="56"/>
        <v>0</v>
      </c>
      <c r="BU70" s="24">
        <f t="shared" si="56"/>
        <v>0</v>
      </c>
      <c r="BV70" s="24">
        <f t="shared" si="56"/>
        <v>0</v>
      </c>
      <c r="BW70" s="24">
        <f t="shared" si="54"/>
        <v>0</v>
      </c>
      <c r="BX70" s="24">
        <f t="shared" si="47"/>
        <v>0</v>
      </c>
      <c r="BY70" s="24">
        <f t="shared" si="47"/>
        <v>0</v>
      </c>
      <c r="BZ70" s="24">
        <f t="shared" si="47"/>
        <v>0</v>
      </c>
      <c r="CA70" s="24">
        <f t="shared" si="47"/>
        <v>0</v>
      </c>
      <c r="CB70" s="24">
        <f t="shared" si="47"/>
        <v>0</v>
      </c>
      <c r="CC70" s="24">
        <f t="shared" si="47"/>
        <v>0</v>
      </c>
      <c r="CD70" s="24">
        <f t="shared" si="47"/>
        <v>0</v>
      </c>
      <c r="CE70" s="27">
        <f t="shared" si="48"/>
        <v>0.47134012683032539</v>
      </c>
      <c r="CF70" s="24">
        <f t="shared" si="49"/>
        <v>35853272</v>
      </c>
      <c r="CG70" s="24"/>
      <c r="CH70" s="24">
        <f>+[2]OCTUBRE!$H$4424+[2]OCTUBRE!$H$4428</f>
        <v>24353332</v>
      </c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>
        <f>+[2]OCTUBRE!$H$4421-CH70</f>
        <v>11499940</v>
      </c>
      <c r="CY70" s="24"/>
      <c r="CZ70" s="24"/>
      <c r="DA70" s="24"/>
      <c r="DB70" s="24"/>
      <c r="DC70" s="24"/>
      <c r="DD70" s="27">
        <f t="shared" ref="DD70:DD129" si="59">1-CE70</f>
        <v>0.52865987316967455</v>
      </c>
      <c r="DE70" s="24">
        <f t="shared" si="50"/>
        <v>40213394</v>
      </c>
      <c r="DF70" s="24">
        <f t="shared" si="57"/>
        <v>0</v>
      </c>
      <c r="DG70" s="24">
        <f t="shared" si="57"/>
        <v>25646668</v>
      </c>
      <c r="DH70" s="24">
        <f t="shared" si="57"/>
        <v>0</v>
      </c>
      <c r="DI70" s="24">
        <f t="shared" si="57"/>
        <v>0</v>
      </c>
      <c r="DJ70" s="24">
        <f t="shared" si="57"/>
        <v>0</v>
      </c>
      <c r="DK70" s="24">
        <f t="shared" si="57"/>
        <v>0</v>
      </c>
      <c r="DL70" s="24">
        <f t="shared" si="57"/>
        <v>0</v>
      </c>
      <c r="DM70" s="24">
        <f t="shared" si="57"/>
        <v>0</v>
      </c>
      <c r="DN70" s="24">
        <f t="shared" si="57"/>
        <v>0</v>
      </c>
      <c r="DO70" s="24">
        <f t="shared" si="57"/>
        <v>0</v>
      </c>
      <c r="DP70" s="24">
        <f t="shared" si="57"/>
        <v>0</v>
      </c>
      <c r="DQ70" s="24">
        <f t="shared" si="57"/>
        <v>0</v>
      </c>
      <c r="DR70" s="24">
        <f t="shared" si="57"/>
        <v>0</v>
      </c>
      <c r="DS70" s="24">
        <f t="shared" si="57"/>
        <v>0</v>
      </c>
      <c r="DT70" s="24">
        <f t="shared" si="57"/>
        <v>0</v>
      </c>
      <c r="DU70" s="24">
        <f t="shared" si="55"/>
        <v>0</v>
      </c>
      <c r="DV70" s="24">
        <f t="shared" si="52"/>
        <v>0</v>
      </c>
      <c r="DW70" s="24">
        <f t="shared" si="52"/>
        <v>14566726</v>
      </c>
      <c r="DX70" s="24">
        <f t="shared" si="52"/>
        <v>0</v>
      </c>
      <c r="DY70" s="24">
        <f t="shared" si="52"/>
        <v>0</v>
      </c>
      <c r="DZ70" s="24">
        <f t="shared" si="52"/>
        <v>0</v>
      </c>
      <c r="EA70" s="24">
        <f t="shared" si="52"/>
        <v>0</v>
      </c>
      <c r="EB70" s="24">
        <f t="shared" si="52"/>
        <v>0</v>
      </c>
      <c r="ED70" s="150"/>
      <c r="EE70" s="45">
        <f t="shared" si="32"/>
        <v>76066666</v>
      </c>
      <c r="EF70" s="45">
        <f t="shared" si="33"/>
        <v>35853272</v>
      </c>
      <c r="EG70" s="159">
        <f t="shared" si="34"/>
        <v>0.47134012683032539</v>
      </c>
    </row>
    <row r="71" spans="1:137" ht="57.6" hidden="1" customHeight="1" x14ac:dyDescent="0.25">
      <c r="A71" s="233"/>
      <c r="B71" s="231"/>
      <c r="C71" s="189" t="s">
        <v>220</v>
      </c>
      <c r="D71" s="33" t="s">
        <v>221</v>
      </c>
      <c r="E71" s="33">
        <v>520</v>
      </c>
      <c r="F71" s="188" t="s">
        <v>222</v>
      </c>
      <c r="G71" s="24">
        <f t="shared" si="43"/>
        <v>174947348</v>
      </c>
      <c r="H71" s="25">
        <f>+[13]SP!$F$64</f>
        <v>167900000</v>
      </c>
      <c r="I71" s="25">
        <f t="shared" si="53"/>
        <v>-7047348</v>
      </c>
      <c r="J71" s="47"/>
      <c r="K71" s="24">
        <f>65055559+3134442</f>
        <v>68190001</v>
      </c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49"/>
      <c r="AA71" s="24">
        <v>20100000</v>
      </c>
      <c r="AB71" s="24"/>
      <c r="AC71" s="24"/>
      <c r="AD71" s="24"/>
      <c r="AE71" s="24"/>
      <c r="AF71" s="26">
        <f>15000000+30812637+14099588+5000000+3000000+8000000-5000000+11349709+4395413</f>
        <v>86657347</v>
      </c>
      <c r="AG71" s="27">
        <f t="shared" si="58"/>
        <v>0.83080857561784816</v>
      </c>
      <c r="AH71" s="24">
        <f t="shared" si="44"/>
        <v>145347757</v>
      </c>
      <c r="AI71" s="24"/>
      <c r="AJ71" s="24">
        <f>+[4]JULIO!$K$3456</f>
        <v>68190001</v>
      </c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>
        <f>+[3]SEPTIEMBRE!$AA$4152</f>
        <v>20100000</v>
      </c>
      <c r="BA71" s="24"/>
      <c r="BB71" s="24"/>
      <c r="BC71" s="24"/>
      <c r="BD71" s="24"/>
      <c r="BE71" s="24">
        <f>+[2]OCTUBRE!$AG$4441</f>
        <v>57057756</v>
      </c>
      <c r="BF71" s="27">
        <f t="shared" ref="BF71:BF129" si="60">1-AG71</f>
        <v>0.16919142438215184</v>
      </c>
      <c r="BG71" s="24">
        <f t="shared" si="45"/>
        <v>29599591</v>
      </c>
      <c r="BH71" s="24">
        <f t="shared" si="56"/>
        <v>0</v>
      </c>
      <c r="BI71" s="24">
        <f t="shared" si="56"/>
        <v>0</v>
      </c>
      <c r="BJ71" s="24">
        <f t="shared" si="56"/>
        <v>0</v>
      </c>
      <c r="BK71" s="24">
        <f t="shared" si="56"/>
        <v>0</v>
      </c>
      <c r="BL71" s="24">
        <f t="shared" si="56"/>
        <v>0</v>
      </c>
      <c r="BM71" s="24">
        <f t="shared" si="56"/>
        <v>0</v>
      </c>
      <c r="BN71" s="24">
        <f t="shared" si="56"/>
        <v>0</v>
      </c>
      <c r="BO71" s="24">
        <f t="shared" si="56"/>
        <v>0</v>
      </c>
      <c r="BP71" s="24">
        <f t="shared" si="56"/>
        <v>0</v>
      </c>
      <c r="BQ71" s="24">
        <f t="shared" si="56"/>
        <v>0</v>
      </c>
      <c r="BR71" s="24">
        <f t="shared" si="56"/>
        <v>0</v>
      </c>
      <c r="BS71" s="24">
        <f t="shared" si="56"/>
        <v>0</v>
      </c>
      <c r="BT71" s="24">
        <f t="shared" si="56"/>
        <v>0</v>
      </c>
      <c r="BU71" s="24">
        <f t="shared" si="56"/>
        <v>0</v>
      </c>
      <c r="BV71" s="24">
        <f t="shared" si="56"/>
        <v>0</v>
      </c>
      <c r="BW71" s="24">
        <f t="shared" si="54"/>
        <v>0</v>
      </c>
      <c r="BX71" s="24">
        <f t="shared" si="47"/>
        <v>0</v>
      </c>
      <c r="BY71" s="24">
        <f t="shared" si="47"/>
        <v>0</v>
      </c>
      <c r="BZ71" s="24">
        <f t="shared" si="47"/>
        <v>0</v>
      </c>
      <c r="CA71" s="24">
        <f t="shared" si="47"/>
        <v>0</v>
      </c>
      <c r="CB71" s="24">
        <f t="shared" si="47"/>
        <v>0</v>
      </c>
      <c r="CC71" s="24">
        <f t="shared" si="47"/>
        <v>0</v>
      </c>
      <c r="CD71" s="24">
        <f t="shared" si="47"/>
        <v>29599591</v>
      </c>
      <c r="CE71" s="27">
        <f t="shared" si="48"/>
        <v>0.71172121454507553</v>
      </c>
      <c r="CF71" s="24">
        <f t="shared" si="49"/>
        <v>124513739</v>
      </c>
      <c r="CG71" s="24"/>
      <c r="CH71" s="24">
        <f>+[2]OCTUBRE!$H$4442+[2]OCTUBRE!$H$4449</f>
        <v>56121993</v>
      </c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>
        <f>+[2]OCTUBRE!$H$4475</f>
        <v>20100000</v>
      </c>
      <c r="CY71" s="24"/>
      <c r="CZ71" s="24"/>
      <c r="DA71" s="24"/>
      <c r="DB71" s="24"/>
      <c r="DC71" s="24">
        <f>+[2]OCTUBRE!$H$4439-CX71-CH71</f>
        <v>48291746</v>
      </c>
      <c r="DD71" s="27">
        <f t="shared" si="59"/>
        <v>0.28827878545492447</v>
      </c>
      <c r="DE71" s="24">
        <f t="shared" si="50"/>
        <v>50433609</v>
      </c>
      <c r="DF71" s="24">
        <f t="shared" si="57"/>
        <v>0</v>
      </c>
      <c r="DG71" s="24">
        <f t="shared" si="57"/>
        <v>12068008</v>
      </c>
      <c r="DH71" s="24">
        <f t="shared" si="57"/>
        <v>0</v>
      </c>
      <c r="DI71" s="24">
        <f t="shared" si="57"/>
        <v>0</v>
      </c>
      <c r="DJ71" s="24">
        <f t="shared" si="57"/>
        <v>0</v>
      </c>
      <c r="DK71" s="24">
        <f t="shared" si="57"/>
        <v>0</v>
      </c>
      <c r="DL71" s="24">
        <f t="shared" si="57"/>
        <v>0</v>
      </c>
      <c r="DM71" s="24">
        <f t="shared" si="57"/>
        <v>0</v>
      </c>
      <c r="DN71" s="24">
        <f t="shared" si="57"/>
        <v>0</v>
      </c>
      <c r="DO71" s="24">
        <f t="shared" si="57"/>
        <v>0</v>
      </c>
      <c r="DP71" s="24">
        <f t="shared" si="57"/>
        <v>0</v>
      </c>
      <c r="DQ71" s="24">
        <f t="shared" si="57"/>
        <v>0</v>
      </c>
      <c r="DR71" s="24">
        <f t="shared" si="57"/>
        <v>0</v>
      </c>
      <c r="DS71" s="24">
        <f t="shared" si="57"/>
        <v>0</v>
      </c>
      <c r="DT71" s="24">
        <f t="shared" si="57"/>
        <v>0</v>
      </c>
      <c r="DU71" s="24">
        <f t="shared" si="55"/>
        <v>0</v>
      </c>
      <c r="DV71" s="24">
        <f t="shared" si="52"/>
        <v>0</v>
      </c>
      <c r="DW71" s="24">
        <f t="shared" si="52"/>
        <v>0</v>
      </c>
      <c r="DX71" s="24">
        <f t="shared" si="52"/>
        <v>0</v>
      </c>
      <c r="DY71" s="24">
        <f t="shared" si="52"/>
        <v>0</v>
      </c>
      <c r="DZ71" s="24">
        <f t="shared" si="52"/>
        <v>0</v>
      </c>
      <c r="EA71" s="24">
        <f t="shared" si="52"/>
        <v>0</v>
      </c>
      <c r="EB71" s="24">
        <f t="shared" si="52"/>
        <v>38365601</v>
      </c>
      <c r="ED71" s="150"/>
      <c r="EE71" s="45">
        <f t="shared" si="32"/>
        <v>174947348</v>
      </c>
      <c r="EF71" s="45">
        <f t="shared" si="33"/>
        <v>124513739</v>
      </c>
      <c r="EG71" s="159">
        <f t="shared" si="34"/>
        <v>0.71172121454507553</v>
      </c>
    </row>
    <row r="72" spans="1:137" ht="36" hidden="1" customHeight="1" x14ac:dyDescent="0.25">
      <c r="A72" s="233"/>
      <c r="B72" s="228" t="s">
        <v>223</v>
      </c>
      <c r="C72" s="189" t="s">
        <v>224</v>
      </c>
      <c r="D72" s="33" t="s">
        <v>225</v>
      </c>
      <c r="E72" s="33">
        <v>520</v>
      </c>
      <c r="F72" s="188" t="s">
        <v>117</v>
      </c>
      <c r="G72" s="24">
        <f t="shared" si="43"/>
        <v>114700316</v>
      </c>
      <c r="H72" s="25">
        <f>+[13]SP!$F71</f>
        <v>130000000</v>
      </c>
      <c r="I72" s="25">
        <f t="shared" si="53"/>
        <v>15299684</v>
      </c>
      <c r="J72" s="47"/>
      <c r="K72" s="24">
        <f>130000000-15299684</f>
        <v>114700316</v>
      </c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49"/>
      <c r="AA72" s="24"/>
      <c r="AB72" s="24"/>
      <c r="AC72" s="24"/>
      <c r="AD72" s="24"/>
      <c r="AE72" s="24"/>
      <c r="AF72" s="24">
        <v>0</v>
      </c>
      <c r="AG72" s="27">
        <f t="shared" si="58"/>
        <v>0.8297685422244172</v>
      </c>
      <c r="AH72" s="24">
        <f t="shared" si="44"/>
        <v>95174714</v>
      </c>
      <c r="AI72" s="24"/>
      <c r="AJ72" s="24">
        <f>+[3]SEPTIEMBRE!$K$4189</f>
        <v>95174714</v>
      </c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7">
        <f t="shared" si="60"/>
        <v>0.1702314577755828</v>
      </c>
      <c r="BG72" s="24">
        <f t="shared" si="45"/>
        <v>19525602</v>
      </c>
      <c r="BH72" s="24">
        <f t="shared" si="56"/>
        <v>0</v>
      </c>
      <c r="BI72" s="24">
        <f t="shared" si="56"/>
        <v>19525602</v>
      </c>
      <c r="BJ72" s="24">
        <f t="shared" si="56"/>
        <v>0</v>
      </c>
      <c r="BK72" s="24">
        <f t="shared" si="56"/>
        <v>0</v>
      </c>
      <c r="BL72" s="24">
        <f t="shared" si="56"/>
        <v>0</v>
      </c>
      <c r="BM72" s="24">
        <f t="shared" si="56"/>
        <v>0</v>
      </c>
      <c r="BN72" s="24">
        <f t="shared" si="56"/>
        <v>0</v>
      </c>
      <c r="BO72" s="24">
        <f t="shared" si="56"/>
        <v>0</v>
      </c>
      <c r="BP72" s="24">
        <f t="shared" si="56"/>
        <v>0</v>
      </c>
      <c r="BQ72" s="24">
        <f t="shared" si="56"/>
        <v>0</v>
      </c>
      <c r="BR72" s="24">
        <f t="shared" si="56"/>
        <v>0</v>
      </c>
      <c r="BS72" s="24">
        <f t="shared" si="56"/>
        <v>0</v>
      </c>
      <c r="BT72" s="24">
        <f t="shared" si="56"/>
        <v>0</v>
      </c>
      <c r="BU72" s="24">
        <f t="shared" si="56"/>
        <v>0</v>
      </c>
      <c r="BV72" s="24">
        <f t="shared" si="56"/>
        <v>0</v>
      </c>
      <c r="BW72" s="24">
        <f t="shared" si="54"/>
        <v>0</v>
      </c>
      <c r="BX72" s="24">
        <f t="shared" si="47"/>
        <v>0</v>
      </c>
      <c r="BY72" s="24">
        <f t="shared" si="47"/>
        <v>0</v>
      </c>
      <c r="BZ72" s="24">
        <f t="shared" si="47"/>
        <v>0</v>
      </c>
      <c r="CA72" s="24">
        <f t="shared" si="47"/>
        <v>0</v>
      </c>
      <c r="CB72" s="24">
        <f t="shared" si="47"/>
        <v>0</v>
      </c>
      <c r="CC72" s="24">
        <f t="shared" si="47"/>
        <v>0</v>
      </c>
      <c r="CD72" s="24">
        <f t="shared" si="47"/>
        <v>0</v>
      </c>
      <c r="CE72" s="27">
        <f t="shared" si="48"/>
        <v>0.62513630738384363</v>
      </c>
      <c r="CF72" s="24">
        <f t="shared" si="49"/>
        <v>71703332</v>
      </c>
      <c r="CG72" s="24"/>
      <c r="CH72" s="24">
        <f>+[2]OCTUBRE!$H$4488+[2]OCTUBRE!$H$4492+[2]OCTUBRE!$H$4500+[2]OCTUBRE!$H$4503</f>
        <v>71703332</v>
      </c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7">
        <f t="shared" si="59"/>
        <v>0.37486369261615637</v>
      </c>
      <c r="DE72" s="24">
        <f t="shared" si="50"/>
        <v>42996984</v>
      </c>
      <c r="DF72" s="24">
        <f t="shared" si="57"/>
        <v>0</v>
      </c>
      <c r="DG72" s="24">
        <f t="shared" si="57"/>
        <v>42996984</v>
      </c>
      <c r="DH72" s="24">
        <f t="shared" si="57"/>
        <v>0</v>
      </c>
      <c r="DI72" s="24">
        <f t="shared" si="57"/>
        <v>0</v>
      </c>
      <c r="DJ72" s="24">
        <f t="shared" si="57"/>
        <v>0</v>
      </c>
      <c r="DK72" s="24">
        <f t="shared" si="57"/>
        <v>0</v>
      </c>
      <c r="DL72" s="24">
        <f t="shared" si="57"/>
        <v>0</v>
      </c>
      <c r="DM72" s="24">
        <f t="shared" si="57"/>
        <v>0</v>
      </c>
      <c r="DN72" s="24">
        <f t="shared" si="57"/>
        <v>0</v>
      </c>
      <c r="DO72" s="24">
        <f t="shared" si="57"/>
        <v>0</v>
      </c>
      <c r="DP72" s="24">
        <f t="shared" si="57"/>
        <v>0</v>
      </c>
      <c r="DQ72" s="24">
        <f t="shared" si="57"/>
        <v>0</v>
      </c>
      <c r="DR72" s="24">
        <f t="shared" si="57"/>
        <v>0</v>
      </c>
      <c r="DS72" s="24">
        <f t="shared" si="57"/>
        <v>0</v>
      </c>
      <c r="DT72" s="24">
        <f t="shared" si="57"/>
        <v>0</v>
      </c>
      <c r="DU72" s="24">
        <f t="shared" si="55"/>
        <v>0</v>
      </c>
      <c r="DV72" s="24">
        <f t="shared" si="52"/>
        <v>0</v>
      </c>
      <c r="DW72" s="24">
        <f t="shared" si="52"/>
        <v>0</v>
      </c>
      <c r="DX72" s="24">
        <f t="shared" si="52"/>
        <v>0</v>
      </c>
      <c r="DY72" s="24">
        <f t="shared" si="52"/>
        <v>0</v>
      </c>
      <c r="DZ72" s="24">
        <f t="shared" si="52"/>
        <v>0</v>
      </c>
      <c r="EA72" s="24">
        <f t="shared" si="52"/>
        <v>0</v>
      </c>
      <c r="EB72" s="24">
        <f t="shared" si="52"/>
        <v>0</v>
      </c>
      <c r="ED72" s="150"/>
      <c r="EE72" s="45">
        <f t="shared" si="32"/>
        <v>114700316</v>
      </c>
      <c r="EF72" s="45">
        <f t="shared" si="33"/>
        <v>71703332</v>
      </c>
      <c r="EG72" s="159">
        <f t="shared" si="34"/>
        <v>0.62513630738384363</v>
      </c>
    </row>
    <row r="73" spans="1:137" ht="34.5" hidden="1" customHeight="1" x14ac:dyDescent="0.25">
      <c r="A73" s="233"/>
      <c r="B73" s="231"/>
      <c r="C73" s="189" t="s">
        <v>226</v>
      </c>
      <c r="D73" s="65" t="s">
        <v>227</v>
      </c>
      <c r="E73" s="33">
        <v>520</v>
      </c>
      <c r="F73" s="188" t="s">
        <v>117</v>
      </c>
      <c r="G73" s="24">
        <f t="shared" si="43"/>
        <v>10000000</v>
      </c>
      <c r="H73" s="25">
        <f>+[13]SP!$F72</f>
        <v>10000000</v>
      </c>
      <c r="I73" s="25">
        <f t="shared" si="53"/>
        <v>0</v>
      </c>
      <c r="J73" s="47"/>
      <c r="K73" s="24">
        <v>10000000</v>
      </c>
      <c r="L73" s="49"/>
      <c r="M73" s="49"/>
      <c r="N73" s="49"/>
      <c r="O73" s="49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49"/>
      <c r="AA73" s="24"/>
      <c r="AB73" s="24"/>
      <c r="AC73" s="24"/>
      <c r="AD73" s="24"/>
      <c r="AE73" s="24"/>
      <c r="AF73" s="24">
        <v>0</v>
      </c>
      <c r="AG73" s="27">
        <f t="shared" si="58"/>
        <v>0.49</v>
      </c>
      <c r="AH73" s="24">
        <f t="shared" si="44"/>
        <v>4900000</v>
      </c>
      <c r="AI73" s="24"/>
      <c r="AJ73" s="24">
        <f>+[3]SEPTIEMBRE!$K$4208</f>
        <v>4900000</v>
      </c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7">
        <f t="shared" si="60"/>
        <v>0.51</v>
      </c>
      <c r="BG73" s="24">
        <f t="shared" si="45"/>
        <v>5100000</v>
      </c>
      <c r="BH73" s="24">
        <f t="shared" si="56"/>
        <v>0</v>
      </c>
      <c r="BI73" s="24">
        <f t="shared" si="56"/>
        <v>5100000</v>
      </c>
      <c r="BJ73" s="24">
        <f t="shared" si="56"/>
        <v>0</v>
      </c>
      <c r="BK73" s="24">
        <f t="shared" si="56"/>
        <v>0</v>
      </c>
      <c r="BL73" s="24">
        <f t="shared" si="56"/>
        <v>0</v>
      </c>
      <c r="BM73" s="24">
        <f t="shared" si="56"/>
        <v>0</v>
      </c>
      <c r="BN73" s="24">
        <f t="shared" si="56"/>
        <v>0</v>
      </c>
      <c r="BO73" s="24">
        <f t="shared" si="56"/>
        <v>0</v>
      </c>
      <c r="BP73" s="24">
        <f t="shared" si="56"/>
        <v>0</v>
      </c>
      <c r="BQ73" s="24">
        <f t="shared" si="56"/>
        <v>0</v>
      </c>
      <c r="BR73" s="24">
        <f t="shared" si="56"/>
        <v>0</v>
      </c>
      <c r="BS73" s="24">
        <f t="shared" si="56"/>
        <v>0</v>
      </c>
      <c r="BT73" s="24">
        <f t="shared" si="56"/>
        <v>0</v>
      </c>
      <c r="BU73" s="24">
        <f t="shared" si="56"/>
        <v>0</v>
      </c>
      <c r="BV73" s="24">
        <f t="shared" si="56"/>
        <v>0</v>
      </c>
      <c r="BW73" s="24">
        <f t="shared" si="54"/>
        <v>0</v>
      </c>
      <c r="BX73" s="24">
        <f t="shared" si="47"/>
        <v>0</v>
      </c>
      <c r="BY73" s="24">
        <f t="shared" si="47"/>
        <v>0</v>
      </c>
      <c r="BZ73" s="24">
        <f t="shared" si="47"/>
        <v>0</v>
      </c>
      <c r="CA73" s="24">
        <f t="shared" si="47"/>
        <v>0</v>
      </c>
      <c r="CB73" s="24">
        <f t="shared" si="47"/>
        <v>0</v>
      </c>
      <c r="CC73" s="24">
        <f t="shared" si="47"/>
        <v>0</v>
      </c>
      <c r="CD73" s="24">
        <f t="shared" si="47"/>
        <v>0</v>
      </c>
      <c r="CE73" s="27">
        <f t="shared" si="48"/>
        <v>0</v>
      </c>
      <c r="CF73" s="24">
        <f t="shared" si="49"/>
        <v>0</v>
      </c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7">
        <f t="shared" si="59"/>
        <v>1</v>
      </c>
      <c r="DE73" s="24">
        <f t="shared" si="50"/>
        <v>10000000</v>
      </c>
      <c r="DF73" s="24">
        <f t="shared" si="57"/>
        <v>0</v>
      </c>
      <c r="DG73" s="24">
        <f t="shared" si="57"/>
        <v>10000000</v>
      </c>
      <c r="DH73" s="24">
        <f t="shared" si="57"/>
        <v>0</v>
      </c>
      <c r="DI73" s="24">
        <f t="shared" si="57"/>
        <v>0</v>
      </c>
      <c r="DJ73" s="24">
        <f t="shared" si="57"/>
        <v>0</v>
      </c>
      <c r="DK73" s="24">
        <f t="shared" si="57"/>
        <v>0</v>
      </c>
      <c r="DL73" s="24">
        <f t="shared" si="57"/>
        <v>0</v>
      </c>
      <c r="DM73" s="24">
        <f t="shared" si="57"/>
        <v>0</v>
      </c>
      <c r="DN73" s="24">
        <f t="shared" si="57"/>
        <v>0</v>
      </c>
      <c r="DO73" s="24">
        <f t="shared" si="57"/>
        <v>0</v>
      </c>
      <c r="DP73" s="24">
        <f t="shared" si="57"/>
        <v>0</v>
      </c>
      <c r="DQ73" s="24">
        <f t="shared" si="57"/>
        <v>0</v>
      </c>
      <c r="DR73" s="24">
        <f t="shared" si="57"/>
        <v>0</v>
      </c>
      <c r="DS73" s="24">
        <f t="shared" si="57"/>
        <v>0</v>
      </c>
      <c r="DT73" s="24">
        <f t="shared" si="57"/>
        <v>0</v>
      </c>
      <c r="DU73" s="24">
        <f t="shared" si="55"/>
        <v>0</v>
      </c>
      <c r="DV73" s="24">
        <f t="shared" si="52"/>
        <v>0</v>
      </c>
      <c r="DW73" s="24">
        <f t="shared" si="52"/>
        <v>0</v>
      </c>
      <c r="DX73" s="24">
        <f t="shared" si="52"/>
        <v>0</v>
      </c>
      <c r="DY73" s="24">
        <f t="shared" si="52"/>
        <v>0</v>
      </c>
      <c r="DZ73" s="24">
        <f t="shared" si="52"/>
        <v>0</v>
      </c>
      <c r="EA73" s="24">
        <f t="shared" si="52"/>
        <v>0</v>
      </c>
      <c r="EB73" s="24">
        <f t="shared" si="52"/>
        <v>0</v>
      </c>
      <c r="ED73" s="150"/>
      <c r="EE73" s="45">
        <f t="shared" si="32"/>
        <v>10000000</v>
      </c>
      <c r="EF73" s="45">
        <f t="shared" si="33"/>
        <v>0</v>
      </c>
      <c r="EG73" s="159">
        <f t="shared" si="34"/>
        <v>0</v>
      </c>
    </row>
    <row r="74" spans="1:137" ht="33" hidden="1" customHeight="1" x14ac:dyDescent="0.25">
      <c r="A74" s="233"/>
      <c r="B74" s="231"/>
      <c r="C74" s="189" t="s">
        <v>228</v>
      </c>
      <c r="D74" s="65" t="s">
        <v>229</v>
      </c>
      <c r="E74" s="33">
        <v>520</v>
      </c>
      <c r="F74" s="188" t="s">
        <v>117</v>
      </c>
      <c r="G74" s="24">
        <f t="shared" si="43"/>
        <v>8000000</v>
      </c>
      <c r="H74" s="25">
        <f>+[13]SP!$F73</f>
        <v>8000000</v>
      </c>
      <c r="I74" s="25">
        <f t="shared" si="53"/>
        <v>0</v>
      </c>
      <c r="J74" s="47"/>
      <c r="K74" s="24">
        <v>8000000</v>
      </c>
      <c r="L74" s="49"/>
      <c r="M74" s="49"/>
      <c r="N74" s="49"/>
      <c r="O74" s="49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49"/>
      <c r="AA74" s="24"/>
      <c r="AB74" s="24"/>
      <c r="AC74" s="24"/>
      <c r="AD74" s="24"/>
      <c r="AE74" s="24"/>
      <c r="AF74" s="24">
        <v>0</v>
      </c>
      <c r="AG74" s="27">
        <f t="shared" si="58"/>
        <v>1</v>
      </c>
      <c r="AH74" s="24">
        <f t="shared" si="44"/>
        <v>8000000</v>
      </c>
      <c r="AI74" s="24"/>
      <c r="AJ74" s="24">
        <f>+[4]JULIO!$K$3513</f>
        <v>8000000</v>
      </c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7">
        <f t="shared" si="60"/>
        <v>0</v>
      </c>
      <c r="BG74" s="24">
        <f t="shared" si="45"/>
        <v>0</v>
      </c>
      <c r="BH74" s="24">
        <f t="shared" si="56"/>
        <v>0</v>
      </c>
      <c r="BI74" s="24">
        <f t="shared" si="56"/>
        <v>0</v>
      </c>
      <c r="BJ74" s="24">
        <f t="shared" si="56"/>
        <v>0</v>
      </c>
      <c r="BK74" s="24">
        <f t="shared" si="56"/>
        <v>0</v>
      </c>
      <c r="BL74" s="24">
        <f t="shared" si="56"/>
        <v>0</v>
      </c>
      <c r="BM74" s="24">
        <f t="shared" si="56"/>
        <v>0</v>
      </c>
      <c r="BN74" s="24">
        <f t="shared" si="56"/>
        <v>0</v>
      </c>
      <c r="BO74" s="24">
        <f t="shared" si="56"/>
        <v>0</v>
      </c>
      <c r="BP74" s="24">
        <f t="shared" si="56"/>
        <v>0</v>
      </c>
      <c r="BQ74" s="24">
        <f t="shared" si="56"/>
        <v>0</v>
      </c>
      <c r="BR74" s="24">
        <f t="shared" si="56"/>
        <v>0</v>
      </c>
      <c r="BS74" s="24">
        <f t="shared" si="56"/>
        <v>0</v>
      </c>
      <c r="BT74" s="24">
        <f t="shared" si="56"/>
        <v>0</v>
      </c>
      <c r="BU74" s="24">
        <f t="shared" si="56"/>
        <v>0</v>
      </c>
      <c r="BV74" s="24">
        <f t="shared" si="56"/>
        <v>0</v>
      </c>
      <c r="BW74" s="24">
        <f t="shared" si="54"/>
        <v>0</v>
      </c>
      <c r="BX74" s="24">
        <f t="shared" si="47"/>
        <v>0</v>
      </c>
      <c r="BY74" s="24">
        <f t="shared" si="47"/>
        <v>0</v>
      </c>
      <c r="BZ74" s="24">
        <f t="shared" si="47"/>
        <v>0</v>
      </c>
      <c r="CA74" s="24">
        <f t="shared" si="47"/>
        <v>0</v>
      </c>
      <c r="CB74" s="24">
        <f t="shared" si="47"/>
        <v>0</v>
      </c>
      <c r="CC74" s="24">
        <f t="shared" si="47"/>
        <v>0</v>
      </c>
      <c r="CD74" s="24">
        <f t="shared" si="47"/>
        <v>0</v>
      </c>
      <c r="CE74" s="27">
        <f t="shared" si="48"/>
        <v>1</v>
      </c>
      <c r="CF74" s="24">
        <f t="shared" si="49"/>
        <v>8000000</v>
      </c>
      <c r="CG74" s="24"/>
      <c r="CH74" s="24">
        <f>+[8]AGOSTO!$H$3751</f>
        <v>8000000</v>
      </c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7">
        <f t="shared" si="59"/>
        <v>0</v>
      </c>
      <c r="DE74" s="24">
        <f t="shared" si="50"/>
        <v>0</v>
      </c>
      <c r="DF74" s="24">
        <f t="shared" si="57"/>
        <v>0</v>
      </c>
      <c r="DG74" s="24">
        <f t="shared" si="57"/>
        <v>0</v>
      </c>
      <c r="DH74" s="24">
        <f t="shared" si="57"/>
        <v>0</v>
      </c>
      <c r="DI74" s="24">
        <f t="shared" si="57"/>
        <v>0</v>
      </c>
      <c r="DJ74" s="24">
        <f t="shared" si="57"/>
        <v>0</v>
      </c>
      <c r="DK74" s="24">
        <f t="shared" si="57"/>
        <v>0</v>
      </c>
      <c r="DL74" s="24">
        <f t="shared" si="57"/>
        <v>0</v>
      </c>
      <c r="DM74" s="24">
        <f t="shared" si="57"/>
        <v>0</v>
      </c>
      <c r="DN74" s="24">
        <f t="shared" si="57"/>
        <v>0</v>
      </c>
      <c r="DO74" s="24">
        <f t="shared" si="57"/>
        <v>0</v>
      </c>
      <c r="DP74" s="24">
        <f t="shared" si="57"/>
        <v>0</v>
      </c>
      <c r="DQ74" s="24">
        <f t="shared" si="57"/>
        <v>0</v>
      </c>
      <c r="DR74" s="24">
        <f t="shared" si="57"/>
        <v>0</v>
      </c>
      <c r="DS74" s="24">
        <f t="shared" si="57"/>
        <v>0</v>
      </c>
      <c r="DT74" s="24">
        <f t="shared" si="57"/>
        <v>0</v>
      </c>
      <c r="DU74" s="24">
        <f t="shared" si="55"/>
        <v>0</v>
      </c>
      <c r="DV74" s="24">
        <f t="shared" si="52"/>
        <v>0</v>
      </c>
      <c r="DW74" s="24">
        <f t="shared" si="52"/>
        <v>0</v>
      </c>
      <c r="DX74" s="24">
        <f t="shared" si="52"/>
        <v>0</v>
      </c>
      <c r="DY74" s="24">
        <f t="shared" si="52"/>
        <v>0</v>
      </c>
      <c r="DZ74" s="24">
        <f t="shared" si="52"/>
        <v>0</v>
      </c>
      <c r="EA74" s="24">
        <f t="shared" si="52"/>
        <v>0</v>
      </c>
      <c r="EB74" s="24">
        <f t="shared" si="52"/>
        <v>0</v>
      </c>
      <c r="ED74" s="150"/>
      <c r="EE74" s="45">
        <f t="shared" si="32"/>
        <v>8000000</v>
      </c>
      <c r="EF74" s="45">
        <f t="shared" si="33"/>
        <v>8000000</v>
      </c>
      <c r="EG74" s="159">
        <f t="shared" si="34"/>
        <v>1</v>
      </c>
    </row>
    <row r="75" spans="1:137" ht="36" hidden="1" customHeight="1" x14ac:dyDescent="0.25">
      <c r="A75" s="233"/>
      <c r="B75" s="229"/>
      <c r="C75" s="189" t="s">
        <v>230</v>
      </c>
      <c r="D75" s="65" t="s">
        <v>231</v>
      </c>
      <c r="E75" s="33">
        <v>520</v>
      </c>
      <c r="F75" s="188" t="s">
        <v>117</v>
      </c>
      <c r="G75" s="24">
        <f t="shared" si="43"/>
        <v>12831952</v>
      </c>
      <c r="H75" s="25">
        <f>+[13]SP!$F74</f>
        <v>25000000</v>
      </c>
      <c r="I75" s="25">
        <f t="shared" si="53"/>
        <v>12168048</v>
      </c>
      <c r="J75" s="47"/>
      <c r="K75" s="24">
        <f>25000000-12168048</f>
        <v>12831952</v>
      </c>
      <c r="L75" s="49"/>
      <c r="M75" s="49"/>
      <c r="N75" s="49"/>
      <c r="O75" s="49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49"/>
      <c r="AA75" s="24"/>
      <c r="AB75" s="24"/>
      <c r="AC75" s="24"/>
      <c r="AD75" s="24"/>
      <c r="AE75" s="24"/>
      <c r="AF75" s="24">
        <v>0</v>
      </c>
      <c r="AG75" s="27">
        <f t="shared" si="58"/>
        <v>1</v>
      </c>
      <c r="AH75" s="24">
        <f t="shared" si="44"/>
        <v>12831952</v>
      </c>
      <c r="AI75" s="24"/>
      <c r="AJ75" s="24">
        <f>+[4]JULIO!$K$3528</f>
        <v>12831952</v>
      </c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7">
        <f t="shared" si="60"/>
        <v>0</v>
      </c>
      <c r="BG75" s="24">
        <f t="shared" si="45"/>
        <v>0</v>
      </c>
      <c r="BH75" s="24">
        <f t="shared" si="56"/>
        <v>0</v>
      </c>
      <c r="BI75" s="24">
        <f t="shared" si="56"/>
        <v>0</v>
      </c>
      <c r="BJ75" s="24">
        <f t="shared" si="56"/>
        <v>0</v>
      </c>
      <c r="BK75" s="24">
        <f t="shared" si="56"/>
        <v>0</v>
      </c>
      <c r="BL75" s="24">
        <f t="shared" si="56"/>
        <v>0</v>
      </c>
      <c r="BM75" s="24">
        <f t="shared" si="56"/>
        <v>0</v>
      </c>
      <c r="BN75" s="24">
        <f t="shared" si="56"/>
        <v>0</v>
      </c>
      <c r="BO75" s="24">
        <f t="shared" si="56"/>
        <v>0</v>
      </c>
      <c r="BP75" s="24">
        <f t="shared" si="56"/>
        <v>0</v>
      </c>
      <c r="BQ75" s="24">
        <f t="shared" si="56"/>
        <v>0</v>
      </c>
      <c r="BR75" s="24">
        <f t="shared" si="56"/>
        <v>0</v>
      </c>
      <c r="BS75" s="24">
        <f t="shared" si="56"/>
        <v>0</v>
      </c>
      <c r="BT75" s="24">
        <f t="shared" si="56"/>
        <v>0</v>
      </c>
      <c r="BU75" s="24">
        <f t="shared" si="56"/>
        <v>0</v>
      </c>
      <c r="BV75" s="24">
        <f t="shared" si="56"/>
        <v>0</v>
      </c>
      <c r="BW75" s="24">
        <f t="shared" si="54"/>
        <v>0</v>
      </c>
      <c r="BX75" s="24">
        <f t="shared" si="47"/>
        <v>0</v>
      </c>
      <c r="BY75" s="24">
        <f t="shared" si="47"/>
        <v>0</v>
      </c>
      <c r="BZ75" s="24">
        <f t="shared" si="47"/>
        <v>0</v>
      </c>
      <c r="CA75" s="24">
        <f t="shared" si="47"/>
        <v>0</v>
      </c>
      <c r="CB75" s="24">
        <f t="shared" si="47"/>
        <v>0</v>
      </c>
      <c r="CC75" s="24">
        <f t="shared" si="47"/>
        <v>0</v>
      </c>
      <c r="CD75" s="24">
        <f t="shared" si="47"/>
        <v>0</v>
      </c>
      <c r="CE75" s="27">
        <f t="shared" si="48"/>
        <v>0.10648029232029546</v>
      </c>
      <c r="CF75" s="24">
        <f t="shared" si="49"/>
        <v>1366350</v>
      </c>
      <c r="CG75" s="24"/>
      <c r="CH75" s="24">
        <f>+'[6]MARZO 2020'!$H$4524</f>
        <v>1366350</v>
      </c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7">
        <f t="shared" si="59"/>
        <v>0.89351970767970457</v>
      </c>
      <c r="DE75" s="24">
        <f t="shared" si="50"/>
        <v>11465602</v>
      </c>
      <c r="DF75" s="24">
        <f t="shared" si="57"/>
        <v>0</v>
      </c>
      <c r="DG75" s="24">
        <f t="shared" si="57"/>
        <v>11465602</v>
      </c>
      <c r="DH75" s="24">
        <f t="shared" si="57"/>
        <v>0</v>
      </c>
      <c r="DI75" s="24">
        <f t="shared" si="57"/>
        <v>0</v>
      </c>
      <c r="DJ75" s="24">
        <f t="shared" si="57"/>
        <v>0</v>
      </c>
      <c r="DK75" s="24">
        <f t="shared" si="57"/>
        <v>0</v>
      </c>
      <c r="DL75" s="24">
        <f t="shared" si="57"/>
        <v>0</v>
      </c>
      <c r="DM75" s="24">
        <f t="shared" si="57"/>
        <v>0</v>
      </c>
      <c r="DN75" s="24">
        <f t="shared" si="57"/>
        <v>0</v>
      </c>
      <c r="DO75" s="24">
        <f t="shared" si="57"/>
        <v>0</v>
      </c>
      <c r="DP75" s="24">
        <f t="shared" si="57"/>
        <v>0</v>
      </c>
      <c r="DQ75" s="24">
        <f t="shared" si="57"/>
        <v>0</v>
      </c>
      <c r="DR75" s="24">
        <f t="shared" si="57"/>
        <v>0</v>
      </c>
      <c r="DS75" s="24">
        <f t="shared" si="57"/>
        <v>0</v>
      </c>
      <c r="DT75" s="24">
        <f t="shared" si="57"/>
        <v>0</v>
      </c>
      <c r="DU75" s="24">
        <f t="shared" si="55"/>
        <v>0</v>
      </c>
      <c r="DV75" s="24">
        <f t="shared" si="52"/>
        <v>0</v>
      </c>
      <c r="DW75" s="24">
        <f t="shared" si="52"/>
        <v>0</v>
      </c>
      <c r="DX75" s="24">
        <f t="shared" si="52"/>
        <v>0</v>
      </c>
      <c r="DY75" s="24">
        <f t="shared" si="52"/>
        <v>0</v>
      </c>
      <c r="DZ75" s="24">
        <f t="shared" si="52"/>
        <v>0</v>
      </c>
      <c r="EA75" s="24">
        <f t="shared" si="52"/>
        <v>0</v>
      </c>
      <c r="EB75" s="24">
        <f t="shared" si="52"/>
        <v>0</v>
      </c>
      <c r="ED75" s="150"/>
      <c r="EE75" s="45">
        <f t="shared" si="32"/>
        <v>12831952</v>
      </c>
      <c r="EF75" s="45">
        <f t="shared" si="33"/>
        <v>1366350</v>
      </c>
      <c r="EG75" s="159">
        <f t="shared" si="34"/>
        <v>0.10648029232029546</v>
      </c>
    </row>
    <row r="76" spans="1:137" ht="24.75" hidden="1" customHeight="1" x14ac:dyDescent="0.25">
      <c r="A76" s="233"/>
      <c r="B76" s="65" t="s">
        <v>232</v>
      </c>
      <c r="C76" s="189" t="s">
        <v>233</v>
      </c>
      <c r="D76" s="65" t="s">
        <v>234</v>
      </c>
      <c r="E76" s="33">
        <v>520</v>
      </c>
      <c r="F76" s="188" t="s">
        <v>117</v>
      </c>
      <c r="G76" s="24">
        <f t="shared" si="43"/>
        <v>91305332</v>
      </c>
      <c r="H76" s="25">
        <f>+[13]SP!$F$80</f>
        <v>173643500</v>
      </c>
      <c r="I76" s="25">
        <f t="shared" si="53"/>
        <v>82338168</v>
      </c>
      <c r="J76" s="47"/>
      <c r="K76" s="24">
        <f>100000000-8694668</f>
        <v>91305332</v>
      </c>
      <c r="L76" s="49"/>
      <c r="M76" s="49"/>
      <c r="N76" s="66"/>
      <c r="O76" s="49"/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9"/>
      <c r="AA76" s="24"/>
      <c r="AB76" s="24"/>
      <c r="AC76" s="47"/>
      <c r="AD76" s="47"/>
      <c r="AE76" s="47"/>
      <c r="AF76" s="24">
        <v>0</v>
      </c>
      <c r="AG76" s="27">
        <f t="shared" si="58"/>
        <v>1</v>
      </c>
      <c r="AH76" s="24">
        <f t="shared" si="44"/>
        <v>91305332</v>
      </c>
      <c r="AI76" s="24"/>
      <c r="AJ76" s="24">
        <f>+[4]JULIO!$K$3538</f>
        <v>91305332</v>
      </c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7">
        <f t="shared" si="60"/>
        <v>0</v>
      </c>
      <c r="BG76" s="24">
        <f t="shared" si="45"/>
        <v>0</v>
      </c>
      <c r="BH76" s="24">
        <f t="shared" si="56"/>
        <v>0</v>
      </c>
      <c r="BI76" s="24">
        <f t="shared" si="56"/>
        <v>0</v>
      </c>
      <c r="BJ76" s="24">
        <f t="shared" si="56"/>
        <v>0</v>
      </c>
      <c r="BK76" s="24">
        <f t="shared" si="56"/>
        <v>0</v>
      </c>
      <c r="BL76" s="24">
        <f t="shared" si="56"/>
        <v>0</v>
      </c>
      <c r="BM76" s="24">
        <f t="shared" si="56"/>
        <v>0</v>
      </c>
      <c r="BN76" s="24">
        <f t="shared" si="56"/>
        <v>0</v>
      </c>
      <c r="BO76" s="24">
        <f t="shared" si="56"/>
        <v>0</v>
      </c>
      <c r="BP76" s="24">
        <f t="shared" si="56"/>
        <v>0</v>
      </c>
      <c r="BQ76" s="24">
        <f t="shared" si="56"/>
        <v>0</v>
      </c>
      <c r="BR76" s="24">
        <f t="shared" si="56"/>
        <v>0</v>
      </c>
      <c r="BS76" s="24">
        <f t="shared" si="56"/>
        <v>0</v>
      </c>
      <c r="BT76" s="24">
        <f t="shared" si="56"/>
        <v>0</v>
      </c>
      <c r="BU76" s="24">
        <f t="shared" si="56"/>
        <v>0</v>
      </c>
      <c r="BV76" s="24">
        <f t="shared" si="56"/>
        <v>0</v>
      </c>
      <c r="BW76" s="24">
        <f t="shared" si="54"/>
        <v>0</v>
      </c>
      <c r="BX76" s="24">
        <f t="shared" si="47"/>
        <v>0</v>
      </c>
      <c r="BY76" s="24">
        <f t="shared" si="47"/>
        <v>0</v>
      </c>
      <c r="BZ76" s="24">
        <f t="shared" si="47"/>
        <v>0</v>
      </c>
      <c r="CA76" s="24">
        <f t="shared" si="47"/>
        <v>0</v>
      </c>
      <c r="CB76" s="24">
        <f t="shared" si="47"/>
        <v>0</v>
      </c>
      <c r="CC76" s="24">
        <f t="shared" si="47"/>
        <v>0</v>
      </c>
      <c r="CD76" s="24">
        <f t="shared" si="47"/>
        <v>0</v>
      </c>
      <c r="CE76" s="27">
        <f t="shared" si="48"/>
        <v>1</v>
      </c>
      <c r="CF76" s="24">
        <f t="shared" si="49"/>
        <v>91305332</v>
      </c>
      <c r="CG76" s="24"/>
      <c r="CH76" s="24">
        <f>+[4]JULIO!$H$3536</f>
        <v>91305332</v>
      </c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7">
        <f t="shared" si="59"/>
        <v>0</v>
      </c>
      <c r="DE76" s="24">
        <f t="shared" si="50"/>
        <v>0</v>
      </c>
      <c r="DF76" s="24">
        <f t="shared" si="57"/>
        <v>0</v>
      </c>
      <c r="DG76" s="24">
        <f t="shared" si="57"/>
        <v>0</v>
      </c>
      <c r="DH76" s="24">
        <f t="shared" si="57"/>
        <v>0</v>
      </c>
      <c r="DI76" s="24">
        <f t="shared" si="57"/>
        <v>0</v>
      </c>
      <c r="DJ76" s="24">
        <f t="shared" si="57"/>
        <v>0</v>
      </c>
      <c r="DK76" s="24">
        <f t="shared" si="57"/>
        <v>0</v>
      </c>
      <c r="DL76" s="24">
        <f t="shared" si="57"/>
        <v>0</v>
      </c>
      <c r="DM76" s="24">
        <f t="shared" si="57"/>
        <v>0</v>
      </c>
      <c r="DN76" s="24">
        <f t="shared" si="57"/>
        <v>0</v>
      </c>
      <c r="DO76" s="24">
        <f t="shared" si="57"/>
        <v>0</v>
      </c>
      <c r="DP76" s="24">
        <f t="shared" si="57"/>
        <v>0</v>
      </c>
      <c r="DQ76" s="24">
        <f t="shared" si="57"/>
        <v>0</v>
      </c>
      <c r="DR76" s="24">
        <f t="shared" si="57"/>
        <v>0</v>
      </c>
      <c r="DS76" s="24">
        <f t="shared" si="57"/>
        <v>0</v>
      </c>
      <c r="DT76" s="24">
        <f t="shared" si="57"/>
        <v>0</v>
      </c>
      <c r="DU76" s="24">
        <f t="shared" si="55"/>
        <v>0</v>
      </c>
      <c r="DV76" s="24">
        <f t="shared" si="52"/>
        <v>0</v>
      </c>
      <c r="DW76" s="24">
        <f t="shared" si="52"/>
        <v>0</v>
      </c>
      <c r="DX76" s="24">
        <f t="shared" si="52"/>
        <v>0</v>
      </c>
      <c r="DY76" s="24">
        <f t="shared" si="52"/>
        <v>0</v>
      </c>
      <c r="DZ76" s="24">
        <f t="shared" si="52"/>
        <v>0</v>
      </c>
      <c r="EA76" s="24">
        <f t="shared" si="52"/>
        <v>0</v>
      </c>
      <c r="EB76" s="24">
        <f t="shared" si="52"/>
        <v>0</v>
      </c>
      <c r="ED76" s="150"/>
      <c r="EE76" s="45">
        <f t="shared" si="32"/>
        <v>91305332</v>
      </c>
      <c r="EF76" s="45">
        <f t="shared" si="33"/>
        <v>91305332</v>
      </c>
      <c r="EG76" s="159">
        <f t="shared" si="34"/>
        <v>1</v>
      </c>
    </row>
    <row r="77" spans="1:137" s="44" customFormat="1" ht="16.899999999999999" customHeight="1" thickTop="1" thickBot="1" x14ac:dyDescent="0.3">
      <c r="A77" s="67"/>
      <c r="B77" s="259" t="s">
        <v>235</v>
      </c>
      <c r="C77" s="260"/>
      <c r="D77" s="260"/>
      <c r="E77" s="260"/>
      <c r="F77" s="261"/>
      <c r="G77" s="58">
        <f t="shared" ref="G77:AF77" si="61">SUM(G51:G76)</f>
        <v>4184492718</v>
      </c>
      <c r="H77" s="68">
        <f t="shared" si="61"/>
        <v>6638028500</v>
      </c>
      <c r="I77" s="68">
        <f t="shared" si="61"/>
        <v>2453535782</v>
      </c>
      <c r="J77" s="58">
        <f t="shared" si="61"/>
        <v>0</v>
      </c>
      <c r="K77" s="58">
        <f t="shared" si="61"/>
        <v>1164848967</v>
      </c>
      <c r="L77" s="58">
        <f t="shared" si="61"/>
        <v>0</v>
      </c>
      <c r="M77" s="58">
        <f t="shared" si="61"/>
        <v>0</v>
      </c>
      <c r="N77" s="58">
        <f t="shared" si="61"/>
        <v>0</v>
      </c>
      <c r="O77" s="58">
        <f t="shared" si="61"/>
        <v>0</v>
      </c>
      <c r="P77" s="58">
        <f t="shared" si="61"/>
        <v>0</v>
      </c>
      <c r="Q77" s="58">
        <f t="shared" si="61"/>
        <v>0</v>
      </c>
      <c r="R77" s="58">
        <f t="shared" si="61"/>
        <v>0</v>
      </c>
      <c r="S77" s="58">
        <f t="shared" si="61"/>
        <v>0</v>
      </c>
      <c r="T77" s="58">
        <f t="shared" si="61"/>
        <v>0</v>
      </c>
      <c r="U77" s="58">
        <f t="shared" si="61"/>
        <v>0</v>
      </c>
      <c r="V77" s="58">
        <f t="shared" si="61"/>
        <v>0</v>
      </c>
      <c r="W77" s="58">
        <f t="shared" si="61"/>
        <v>0</v>
      </c>
      <c r="X77" s="58">
        <f t="shared" si="61"/>
        <v>0</v>
      </c>
      <c r="Y77" s="58">
        <f t="shared" si="61"/>
        <v>1500000000</v>
      </c>
      <c r="Z77" s="58">
        <f t="shared" si="61"/>
        <v>0</v>
      </c>
      <c r="AA77" s="58">
        <f t="shared" si="61"/>
        <v>369395921</v>
      </c>
      <c r="AB77" s="58">
        <f t="shared" si="61"/>
        <v>283957637</v>
      </c>
      <c r="AC77" s="58">
        <f t="shared" si="61"/>
        <v>0</v>
      </c>
      <c r="AD77" s="58">
        <f t="shared" si="61"/>
        <v>0</v>
      </c>
      <c r="AE77" s="58">
        <f t="shared" si="61"/>
        <v>0</v>
      </c>
      <c r="AF77" s="58">
        <f t="shared" si="61"/>
        <v>866290193</v>
      </c>
      <c r="AG77" s="59">
        <f t="shared" si="58"/>
        <v>0.68401742287367029</v>
      </c>
      <c r="AH77" s="58">
        <f>SUM(AH51:AH76)</f>
        <v>2862265925</v>
      </c>
      <c r="AI77" s="58">
        <f>SUM(AI51:AI76)</f>
        <v>0</v>
      </c>
      <c r="AJ77" s="58">
        <f>SUM(AJ51:AJ76)</f>
        <v>1090039942</v>
      </c>
      <c r="AK77" s="58">
        <f>SUM(AK51:AK76)</f>
        <v>0</v>
      </c>
      <c r="AL77" s="58"/>
      <c r="AM77" s="58">
        <f t="shared" ref="AM77:BE77" si="62">SUM(AM51:AM76)</f>
        <v>0</v>
      </c>
      <c r="AN77" s="58">
        <f t="shared" si="62"/>
        <v>0</v>
      </c>
      <c r="AO77" s="58">
        <f t="shared" si="62"/>
        <v>0</v>
      </c>
      <c r="AP77" s="58">
        <f t="shared" si="62"/>
        <v>0</v>
      </c>
      <c r="AQ77" s="58">
        <f t="shared" si="62"/>
        <v>0</v>
      </c>
      <c r="AR77" s="58">
        <f t="shared" si="62"/>
        <v>0</v>
      </c>
      <c r="AS77" s="58">
        <f t="shared" si="62"/>
        <v>0</v>
      </c>
      <c r="AT77" s="58">
        <f t="shared" si="62"/>
        <v>0</v>
      </c>
      <c r="AU77" s="58">
        <f t="shared" si="62"/>
        <v>0</v>
      </c>
      <c r="AV77" s="58">
        <f t="shared" si="62"/>
        <v>0</v>
      </c>
      <c r="AW77" s="58">
        <f t="shared" si="62"/>
        <v>0</v>
      </c>
      <c r="AX77" s="58">
        <f t="shared" si="62"/>
        <v>405014429</v>
      </c>
      <c r="AY77" s="58">
        <f t="shared" si="62"/>
        <v>0</v>
      </c>
      <c r="AZ77" s="58">
        <f t="shared" si="62"/>
        <v>342471444</v>
      </c>
      <c r="BA77" s="58">
        <f t="shared" si="62"/>
        <v>277047545</v>
      </c>
      <c r="BB77" s="58">
        <f t="shared" si="62"/>
        <v>0</v>
      </c>
      <c r="BC77" s="58">
        <f t="shared" si="62"/>
        <v>0</v>
      </c>
      <c r="BD77" s="58">
        <f t="shared" si="62"/>
        <v>0</v>
      </c>
      <c r="BE77" s="58">
        <f t="shared" si="62"/>
        <v>747692565</v>
      </c>
      <c r="BF77" s="59">
        <f t="shared" si="60"/>
        <v>0.31598257712632971</v>
      </c>
      <c r="BG77" s="58">
        <f t="shared" ref="BG77:CD77" si="63">SUM(BG51:BG76)</f>
        <v>1322226793</v>
      </c>
      <c r="BH77" s="58">
        <f t="shared" si="63"/>
        <v>0</v>
      </c>
      <c r="BI77" s="58">
        <f t="shared" si="63"/>
        <v>74809025</v>
      </c>
      <c r="BJ77" s="58">
        <f t="shared" si="63"/>
        <v>0</v>
      </c>
      <c r="BK77" s="58">
        <f t="shared" si="63"/>
        <v>0</v>
      </c>
      <c r="BL77" s="58">
        <f t="shared" si="63"/>
        <v>0</v>
      </c>
      <c r="BM77" s="58">
        <f t="shared" si="63"/>
        <v>0</v>
      </c>
      <c r="BN77" s="58">
        <f t="shared" si="63"/>
        <v>0</v>
      </c>
      <c r="BO77" s="58">
        <f t="shared" si="63"/>
        <v>0</v>
      </c>
      <c r="BP77" s="58">
        <f t="shared" si="63"/>
        <v>0</v>
      </c>
      <c r="BQ77" s="58">
        <f t="shared" si="63"/>
        <v>0</v>
      </c>
      <c r="BR77" s="58">
        <f t="shared" si="63"/>
        <v>0</v>
      </c>
      <c r="BS77" s="58">
        <f t="shared" si="63"/>
        <v>0</v>
      </c>
      <c r="BT77" s="58">
        <f t="shared" si="63"/>
        <v>0</v>
      </c>
      <c r="BU77" s="58">
        <f t="shared" si="63"/>
        <v>0</v>
      </c>
      <c r="BV77" s="58">
        <f t="shared" si="63"/>
        <v>0</v>
      </c>
      <c r="BW77" s="58">
        <f t="shared" si="63"/>
        <v>1094985571</v>
      </c>
      <c r="BX77" s="58">
        <f t="shared" si="63"/>
        <v>0</v>
      </c>
      <c r="BY77" s="58">
        <f t="shared" si="63"/>
        <v>26924477</v>
      </c>
      <c r="BZ77" s="58">
        <f t="shared" si="63"/>
        <v>6910092</v>
      </c>
      <c r="CA77" s="58">
        <f t="shared" si="63"/>
        <v>0</v>
      </c>
      <c r="CB77" s="58">
        <f t="shared" si="63"/>
        <v>0</v>
      </c>
      <c r="CC77" s="58">
        <f t="shared" si="63"/>
        <v>0</v>
      </c>
      <c r="CD77" s="58">
        <f t="shared" si="63"/>
        <v>118597628</v>
      </c>
      <c r="CE77" s="59">
        <f t="shared" si="48"/>
        <v>0.50298706099934953</v>
      </c>
      <c r="CF77" s="58">
        <f>SUM(CF51:CF76)</f>
        <v>2104745694</v>
      </c>
      <c r="CG77" s="58">
        <f>SUM(CG51:CG76)</f>
        <v>0</v>
      </c>
      <c r="CH77" s="58">
        <f>SUM(CH51:CH76)</f>
        <v>925327729</v>
      </c>
      <c r="CI77" s="58">
        <f>SUM(CI51:CI76)</f>
        <v>0</v>
      </c>
      <c r="CJ77" s="58"/>
      <c r="CK77" s="58">
        <f t="shared" ref="CK77:DC77" si="64">SUM(CK51:CK76)</f>
        <v>0</v>
      </c>
      <c r="CL77" s="58">
        <f t="shared" si="64"/>
        <v>0</v>
      </c>
      <c r="CM77" s="58">
        <f t="shared" si="64"/>
        <v>0</v>
      </c>
      <c r="CN77" s="58">
        <f t="shared" si="64"/>
        <v>0</v>
      </c>
      <c r="CO77" s="58">
        <f t="shared" si="64"/>
        <v>0</v>
      </c>
      <c r="CP77" s="58">
        <f t="shared" si="64"/>
        <v>0</v>
      </c>
      <c r="CQ77" s="58">
        <f t="shared" si="64"/>
        <v>0</v>
      </c>
      <c r="CR77" s="58">
        <f t="shared" si="64"/>
        <v>0</v>
      </c>
      <c r="CS77" s="58">
        <f t="shared" si="64"/>
        <v>0</v>
      </c>
      <c r="CT77" s="58">
        <f t="shared" si="64"/>
        <v>0</v>
      </c>
      <c r="CU77" s="58">
        <f t="shared" si="64"/>
        <v>0</v>
      </c>
      <c r="CV77" s="58">
        <f t="shared" si="64"/>
        <v>183323761</v>
      </c>
      <c r="CW77" s="58">
        <f t="shared" si="64"/>
        <v>0</v>
      </c>
      <c r="CX77" s="58">
        <f t="shared" si="64"/>
        <v>217430765</v>
      </c>
      <c r="CY77" s="58">
        <f t="shared" si="64"/>
        <v>171636319</v>
      </c>
      <c r="CZ77" s="58">
        <f t="shared" si="64"/>
        <v>0</v>
      </c>
      <c r="DA77" s="58">
        <f t="shared" si="64"/>
        <v>0</v>
      </c>
      <c r="DB77" s="58">
        <f t="shared" si="64"/>
        <v>0</v>
      </c>
      <c r="DC77" s="58">
        <f t="shared" si="64"/>
        <v>607027120</v>
      </c>
      <c r="DD77" s="59">
        <f t="shared" si="59"/>
        <v>0.49701293900065047</v>
      </c>
      <c r="DE77" s="70">
        <f t="shared" si="50"/>
        <v>2079747024</v>
      </c>
      <c r="DF77" s="58">
        <f t="shared" ref="DF77:EB77" si="65">SUM(DF51:DF76)</f>
        <v>0</v>
      </c>
      <c r="DG77" s="58">
        <f t="shared" si="65"/>
        <v>239521238</v>
      </c>
      <c r="DH77" s="58">
        <f t="shared" si="65"/>
        <v>0</v>
      </c>
      <c r="DI77" s="58">
        <f t="shared" si="65"/>
        <v>0</v>
      </c>
      <c r="DJ77" s="58">
        <f t="shared" si="65"/>
        <v>0</v>
      </c>
      <c r="DK77" s="58">
        <f t="shared" si="65"/>
        <v>0</v>
      </c>
      <c r="DL77" s="58">
        <f t="shared" si="65"/>
        <v>0</v>
      </c>
      <c r="DM77" s="58">
        <f t="shared" si="65"/>
        <v>0</v>
      </c>
      <c r="DN77" s="58">
        <f t="shared" si="65"/>
        <v>0</v>
      </c>
      <c r="DO77" s="58">
        <f t="shared" si="65"/>
        <v>0</v>
      </c>
      <c r="DP77" s="58">
        <f t="shared" si="65"/>
        <v>0</v>
      </c>
      <c r="DQ77" s="58">
        <f t="shared" si="65"/>
        <v>0</v>
      </c>
      <c r="DR77" s="58">
        <f t="shared" si="65"/>
        <v>0</v>
      </c>
      <c r="DS77" s="58">
        <f t="shared" si="65"/>
        <v>0</v>
      </c>
      <c r="DT77" s="58">
        <f t="shared" si="65"/>
        <v>0</v>
      </c>
      <c r="DU77" s="58">
        <f t="shared" si="65"/>
        <v>1316676239</v>
      </c>
      <c r="DV77" s="58">
        <f t="shared" si="65"/>
        <v>0</v>
      </c>
      <c r="DW77" s="58">
        <f t="shared" si="65"/>
        <v>151965156</v>
      </c>
      <c r="DX77" s="58">
        <f t="shared" si="65"/>
        <v>112321318</v>
      </c>
      <c r="DY77" s="58">
        <f t="shared" si="65"/>
        <v>0</v>
      </c>
      <c r="DZ77" s="58">
        <f t="shared" si="65"/>
        <v>0</v>
      </c>
      <c r="EA77" s="58">
        <f t="shared" si="65"/>
        <v>0</v>
      </c>
      <c r="EB77" s="58">
        <f t="shared" si="65"/>
        <v>259263073</v>
      </c>
      <c r="ED77" s="151" t="s">
        <v>383</v>
      </c>
      <c r="EE77" s="45">
        <f t="shared" si="32"/>
        <v>4184492718</v>
      </c>
      <c r="EF77" s="45">
        <f t="shared" si="33"/>
        <v>2104745694</v>
      </c>
      <c r="EG77" s="159">
        <f t="shared" si="34"/>
        <v>0.50298706099934953</v>
      </c>
    </row>
    <row r="78" spans="1:137" s="44" customFormat="1" ht="26.25" hidden="1" customHeight="1" thickTop="1" x14ac:dyDescent="0.25">
      <c r="A78" s="238" t="s">
        <v>236</v>
      </c>
      <c r="B78" s="234" t="s">
        <v>237</v>
      </c>
      <c r="C78" s="191" t="s">
        <v>238</v>
      </c>
      <c r="D78" s="190" t="s">
        <v>239</v>
      </c>
      <c r="E78" s="33">
        <v>301</v>
      </c>
      <c r="F78" s="188" t="s">
        <v>240</v>
      </c>
      <c r="G78" s="24">
        <f t="shared" ref="G78:G96" si="66">SUM(J78:AF78)</f>
        <v>75000000</v>
      </c>
      <c r="H78" s="25">
        <f>+'[14]SB 2020 2024'!$F$5</f>
        <v>120000000</v>
      </c>
      <c r="I78" s="25">
        <f>+H78-G78</f>
        <v>45000000</v>
      </c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>
        <v>75000000</v>
      </c>
      <c r="AA78" s="24"/>
      <c r="AB78" s="24"/>
      <c r="AC78" s="24"/>
      <c r="AD78" s="24"/>
      <c r="AE78" s="24"/>
      <c r="AF78" s="24">
        <v>0</v>
      </c>
      <c r="AG78" s="48">
        <f t="shared" si="58"/>
        <v>1</v>
      </c>
      <c r="AH78" s="24">
        <f t="shared" si="44"/>
        <v>75000000</v>
      </c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>
        <f>+[4]JULIO!$Z$653</f>
        <v>75000000</v>
      </c>
      <c r="AZ78" s="24"/>
      <c r="BA78" s="24"/>
      <c r="BB78" s="24"/>
      <c r="BC78" s="24"/>
      <c r="BD78" s="24"/>
      <c r="BE78" s="24"/>
      <c r="BF78" s="27">
        <f t="shared" si="60"/>
        <v>0</v>
      </c>
      <c r="BG78" s="24">
        <f t="shared" ref="BG78:BG128" si="67">SUM(BH78:CD78)</f>
        <v>0</v>
      </c>
      <c r="BH78" s="24">
        <f t="shared" ref="BH78:BW93" si="68">+J78-AI78</f>
        <v>0</v>
      </c>
      <c r="BI78" s="24">
        <f t="shared" si="68"/>
        <v>0</v>
      </c>
      <c r="BJ78" s="24">
        <f t="shared" si="68"/>
        <v>0</v>
      </c>
      <c r="BK78" s="24">
        <f t="shared" si="68"/>
        <v>0</v>
      </c>
      <c r="BL78" s="24">
        <f t="shared" si="68"/>
        <v>0</v>
      </c>
      <c r="BM78" s="24">
        <f t="shared" si="68"/>
        <v>0</v>
      </c>
      <c r="BN78" s="24">
        <f t="shared" si="68"/>
        <v>0</v>
      </c>
      <c r="BO78" s="24">
        <f t="shared" si="68"/>
        <v>0</v>
      </c>
      <c r="BP78" s="24">
        <f t="shared" si="68"/>
        <v>0</v>
      </c>
      <c r="BQ78" s="24">
        <f t="shared" si="68"/>
        <v>0</v>
      </c>
      <c r="BR78" s="24">
        <f t="shared" si="68"/>
        <v>0</v>
      </c>
      <c r="BS78" s="24">
        <f t="shared" si="68"/>
        <v>0</v>
      </c>
      <c r="BT78" s="24">
        <f t="shared" si="68"/>
        <v>0</v>
      </c>
      <c r="BU78" s="24">
        <f t="shared" si="68"/>
        <v>0</v>
      </c>
      <c r="BV78" s="24">
        <f t="shared" si="68"/>
        <v>0</v>
      </c>
      <c r="BW78" s="24">
        <f t="shared" si="68"/>
        <v>0</v>
      </c>
      <c r="BX78" s="24">
        <f t="shared" ref="BX78:CD96" si="69">+Z78-AY78</f>
        <v>0</v>
      </c>
      <c r="BY78" s="24">
        <f t="shared" si="69"/>
        <v>0</v>
      </c>
      <c r="BZ78" s="24">
        <f t="shared" si="69"/>
        <v>0</v>
      </c>
      <c r="CA78" s="24">
        <f t="shared" si="69"/>
        <v>0</v>
      </c>
      <c r="CB78" s="24">
        <f t="shared" si="69"/>
        <v>0</v>
      </c>
      <c r="CC78" s="24">
        <f t="shared" si="69"/>
        <v>0</v>
      </c>
      <c r="CD78" s="24">
        <f t="shared" si="69"/>
        <v>0</v>
      </c>
      <c r="CE78" s="48">
        <f t="shared" si="48"/>
        <v>0.7614222266666667</v>
      </c>
      <c r="CF78" s="24">
        <f>SUM(CG78:DC78)</f>
        <v>57106667</v>
      </c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>
        <f>+[4]JULIO!$H$651</f>
        <v>57106667</v>
      </c>
      <c r="CX78" s="24"/>
      <c r="CY78" s="24"/>
      <c r="CZ78" s="24"/>
      <c r="DA78" s="24"/>
      <c r="DB78" s="24"/>
      <c r="DC78" s="24"/>
      <c r="DD78" s="27">
        <f t="shared" si="59"/>
        <v>0.2385777733333333</v>
      </c>
      <c r="DE78" s="24">
        <f t="shared" si="50"/>
        <v>17893333</v>
      </c>
      <c r="DF78" s="24">
        <f t="shared" ref="DF78:DU93" si="70">+J78-CG78</f>
        <v>0</v>
      </c>
      <c r="DG78" s="24">
        <f t="shared" si="70"/>
        <v>0</v>
      </c>
      <c r="DH78" s="24">
        <f t="shared" si="70"/>
        <v>0</v>
      </c>
      <c r="DI78" s="24">
        <f t="shared" si="70"/>
        <v>0</v>
      </c>
      <c r="DJ78" s="24">
        <f t="shared" si="70"/>
        <v>0</v>
      </c>
      <c r="DK78" s="24">
        <f t="shared" si="70"/>
        <v>0</v>
      </c>
      <c r="DL78" s="24">
        <f t="shared" si="70"/>
        <v>0</v>
      </c>
      <c r="DM78" s="24">
        <f t="shared" si="70"/>
        <v>0</v>
      </c>
      <c r="DN78" s="24">
        <f t="shared" si="70"/>
        <v>0</v>
      </c>
      <c r="DO78" s="24">
        <f t="shared" si="70"/>
        <v>0</v>
      </c>
      <c r="DP78" s="24">
        <f t="shared" si="70"/>
        <v>0</v>
      </c>
      <c r="DQ78" s="24">
        <f t="shared" si="70"/>
        <v>0</v>
      </c>
      <c r="DR78" s="24">
        <f t="shared" si="70"/>
        <v>0</v>
      </c>
      <c r="DS78" s="24">
        <f t="shared" si="70"/>
        <v>0</v>
      </c>
      <c r="DT78" s="24">
        <f t="shared" si="70"/>
        <v>0</v>
      </c>
      <c r="DU78" s="24">
        <f t="shared" si="70"/>
        <v>0</v>
      </c>
      <c r="DV78" s="24">
        <f t="shared" ref="DV78:EB96" si="71">+Z78-CW78</f>
        <v>17893333</v>
      </c>
      <c r="DW78" s="24">
        <f t="shared" si="71"/>
        <v>0</v>
      </c>
      <c r="DX78" s="24">
        <f t="shared" si="71"/>
        <v>0</v>
      </c>
      <c r="DY78" s="24">
        <f t="shared" si="71"/>
        <v>0</v>
      </c>
      <c r="DZ78" s="24">
        <f t="shared" si="71"/>
        <v>0</v>
      </c>
      <c r="EA78" s="24">
        <f t="shared" si="71"/>
        <v>0</v>
      </c>
      <c r="EB78" s="24">
        <f t="shared" si="71"/>
        <v>0</v>
      </c>
      <c r="ED78" s="150"/>
      <c r="EE78" s="45">
        <f t="shared" si="32"/>
        <v>75000000</v>
      </c>
      <c r="EF78" s="45">
        <f t="shared" si="33"/>
        <v>57106667</v>
      </c>
      <c r="EG78" s="159">
        <f t="shared" si="34"/>
        <v>0.7614222266666667</v>
      </c>
    </row>
    <row r="79" spans="1:137" s="44" customFormat="1" ht="21.75" hidden="1" customHeight="1" x14ac:dyDescent="0.25">
      <c r="A79" s="239"/>
      <c r="B79" s="231"/>
      <c r="C79" s="191" t="s">
        <v>241</v>
      </c>
      <c r="D79" s="190" t="s">
        <v>242</v>
      </c>
      <c r="E79" s="33">
        <v>301</v>
      </c>
      <c r="F79" s="188" t="s">
        <v>240</v>
      </c>
      <c r="G79" s="24">
        <f t="shared" si="66"/>
        <v>60000000</v>
      </c>
      <c r="H79" s="25">
        <f>+'[14]SB 2020 2024'!$F$6</f>
        <v>85000000</v>
      </c>
      <c r="I79" s="25">
        <f t="shared" ref="I79:I96" si="72">+H79-G79</f>
        <v>25000000</v>
      </c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>
        <v>60000000</v>
      </c>
      <c r="AA79" s="24"/>
      <c r="AB79" s="24"/>
      <c r="AC79" s="24"/>
      <c r="AD79" s="24"/>
      <c r="AE79" s="24"/>
      <c r="AF79" s="24">
        <v>0</v>
      </c>
      <c r="AG79" s="27">
        <f t="shared" si="58"/>
        <v>0.24566668333333333</v>
      </c>
      <c r="AH79" s="24">
        <f t="shared" si="44"/>
        <v>14740001</v>
      </c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>
        <f>+[3]SEPTIEMBRE!$Z$796</f>
        <v>14740001</v>
      </c>
      <c r="AZ79" s="24"/>
      <c r="BA79" s="24"/>
      <c r="BB79" s="24"/>
      <c r="BC79" s="24"/>
      <c r="BD79" s="24"/>
      <c r="BE79" s="24"/>
      <c r="BF79" s="27">
        <f t="shared" si="60"/>
        <v>0.7543333166666667</v>
      </c>
      <c r="BG79" s="24">
        <f t="shared" si="67"/>
        <v>45259999</v>
      </c>
      <c r="BH79" s="24">
        <f t="shared" si="68"/>
        <v>0</v>
      </c>
      <c r="BI79" s="24">
        <f t="shared" si="68"/>
        <v>0</v>
      </c>
      <c r="BJ79" s="24">
        <f t="shared" si="68"/>
        <v>0</v>
      </c>
      <c r="BK79" s="24">
        <f t="shared" si="68"/>
        <v>0</v>
      </c>
      <c r="BL79" s="24">
        <f t="shared" si="68"/>
        <v>0</v>
      </c>
      <c r="BM79" s="24">
        <f t="shared" si="68"/>
        <v>0</v>
      </c>
      <c r="BN79" s="24">
        <f t="shared" si="68"/>
        <v>0</v>
      </c>
      <c r="BO79" s="24">
        <f t="shared" si="68"/>
        <v>0</v>
      </c>
      <c r="BP79" s="24">
        <f t="shared" si="68"/>
        <v>0</v>
      </c>
      <c r="BQ79" s="24">
        <f t="shared" si="68"/>
        <v>0</v>
      </c>
      <c r="BR79" s="24">
        <f t="shared" si="68"/>
        <v>0</v>
      </c>
      <c r="BS79" s="24">
        <f t="shared" si="68"/>
        <v>0</v>
      </c>
      <c r="BT79" s="24">
        <f t="shared" si="68"/>
        <v>0</v>
      </c>
      <c r="BU79" s="24">
        <f t="shared" si="68"/>
        <v>0</v>
      </c>
      <c r="BV79" s="24">
        <f t="shared" si="68"/>
        <v>0</v>
      </c>
      <c r="BW79" s="24">
        <f t="shared" si="68"/>
        <v>0</v>
      </c>
      <c r="BX79" s="24">
        <f t="shared" si="69"/>
        <v>45259999</v>
      </c>
      <c r="BY79" s="24">
        <f t="shared" si="69"/>
        <v>0</v>
      </c>
      <c r="BZ79" s="24">
        <f t="shared" si="69"/>
        <v>0</v>
      </c>
      <c r="CA79" s="24">
        <f t="shared" si="69"/>
        <v>0</v>
      </c>
      <c r="CB79" s="24">
        <f t="shared" si="69"/>
        <v>0</v>
      </c>
      <c r="CC79" s="24">
        <f t="shared" si="69"/>
        <v>0</v>
      </c>
      <c r="CD79" s="24">
        <f t="shared" si="69"/>
        <v>0</v>
      </c>
      <c r="CE79" s="27">
        <f t="shared" si="48"/>
        <v>0.24566668333333333</v>
      </c>
      <c r="CF79" s="24">
        <f t="shared" ref="CF79:CF96" si="73">SUM(CG79:DC79)</f>
        <v>14740001</v>
      </c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>
        <f>+[4]JULIO!$H$666</f>
        <v>14740001</v>
      </c>
      <c r="CX79" s="24"/>
      <c r="CY79" s="24"/>
      <c r="CZ79" s="24"/>
      <c r="DA79" s="24"/>
      <c r="DB79" s="24"/>
      <c r="DC79" s="24"/>
      <c r="DD79" s="27">
        <f t="shared" si="59"/>
        <v>0.7543333166666667</v>
      </c>
      <c r="DE79" s="24">
        <f t="shared" si="50"/>
        <v>45259999</v>
      </c>
      <c r="DF79" s="24">
        <f t="shared" si="70"/>
        <v>0</v>
      </c>
      <c r="DG79" s="24">
        <f t="shared" si="70"/>
        <v>0</v>
      </c>
      <c r="DH79" s="24">
        <f t="shared" si="70"/>
        <v>0</v>
      </c>
      <c r="DI79" s="24">
        <f t="shared" si="70"/>
        <v>0</v>
      </c>
      <c r="DJ79" s="24">
        <f t="shared" si="70"/>
        <v>0</v>
      </c>
      <c r="DK79" s="24">
        <f t="shared" si="70"/>
        <v>0</v>
      </c>
      <c r="DL79" s="24">
        <f t="shared" si="70"/>
        <v>0</v>
      </c>
      <c r="DM79" s="24">
        <f t="shared" si="70"/>
        <v>0</v>
      </c>
      <c r="DN79" s="24">
        <f t="shared" si="70"/>
        <v>0</v>
      </c>
      <c r="DO79" s="24">
        <f t="shared" si="70"/>
        <v>0</v>
      </c>
      <c r="DP79" s="24">
        <f t="shared" si="70"/>
        <v>0</v>
      </c>
      <c r="DQ79" s="24">
        <f t="shared" si="70"/>
        <v>0</v>
      </c>
      <c r="DR79" s="24">
        <f t="shared" si="70"/>
        <v>0</v>
      </c>
      <c r="DS79" s="24">
        <f t="shared" si="70"/>
        <v>0</v>
      </c>
      <c r="DT79" s="24">
        <f t="shared" si="70"/>
        <v>0</v>
      </c>
      <c r="DU79" s="24">
        <f t="shared" si="70"/>
        <v>0</v>
      </c>
      <c r="DV79" s="24">
        <f t="shared" si="71"/>
        <v>45259999</v>
      </c>
      <c r="DW79" s="24">
        <f t="shared" si="71"/>
        <v>0</v>
      </c>
      <c r="DX79" s="24">
        <f t="shared" si="71"/>
        <v>0</v>
      </c>
      <c r="DY79" s="24">
        <f t="shared" si="71"/>
        <v>0</v>
      </c>
      <c r="DZ79" s="24">
        <f t="shared" si="71"/>
        <v>0</v>
      </c>
      <c r="EA79" s="24">
        <f t="shared" si="71"/>
        <v>0</v>
      </c>
      <c r="EB79" s="24">
        <f t="shared" si="71"/>
        <v>0</v>
      </c>
      <c r="ED79" s="150"/>
      <c r="EE79" s="45">
        <f t="shared" si="32"/>
        <v>60000000</v>
      </c>
      <c r="EF79" s="45">
        <f t="shared" si="33"/>
        <v>14740001</v>
      </c>
      <c r="EG79" s="159">
        <f t="shared" si="34"/>
        <v>0.24566668333333333</v>
      </c>
    </row>
    <row r="80" spans="1:137" s="44" customFormat="1" ht="19.5" hidden="1" customHeight="1" x14ac:dyDescent="0.25">
      <c r="A80" s="239"/>
      <c r="B80" s="231"/>
      <c r="C80" s="191" t="s">
        <v>243</v>
      </c>
      <c r="D80" s="190" t="s">
        <v>244</v>
      </c>
      <c r="E80" s="33">
        <v>301</v>
      </c>
      <c r="F80" s="188" t="s">
        <v>240</v>
      </c>
      <c r="G80" s="24">
        <f t="shared" si="66"/>
        <v>60000000</v>
      </c>
      <c r="H80" s="25">
        <f>+'[14]SB 2020 2024'!$F$7</f>
        <v>100000000</v>
      </c>
      <c r="I80" s="25">
        <f t="shared" si="72"/>
        <v>40000000</v>
      </c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>
        <v>60000000</v>
      </c>
      <c r="AA80" s="24"/>
      <c r="AB80" s="24"/>
      <c r="AC80" s="24"/>
      <c r="AD80" s="24"/>
      <c r="AE80" s="24"/>
      <c r="AF80" s="24">
        <v>0</v>
      </c>
      <c r="AG80" s="27">
        <f t="shared" si="58"/>
        <v>0.93500000000000005</v>
      </c>
      <c r="AH80" s="24">
        <f t="shared" si="44"/>
        <v>56100000</v>
      </c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>
        <f>+[3]SEPTIEMBRE!$Z$807</f>
        <v>56100000</v>
      </c>
      <c r="AZ80" s="24"/>
      <c r="BA80" s="24"/>
      <c r="BB80" s="24"/>
      <c r="BC80" s="24"/>
      <c r="BD80" s="24"/>
      <c r="BE80" s="24"/>
      <c r="BF80" s="27">
        <f t="shared" si="60"/>
        <v>6.4999999999999947E-2</v>
      </c>
      <c r="BG80" s="24">
        <f t="shared" si="67"/>
        <v>3900000</v>
      </c>
      <c r="BH80" s="24">
        <f t="shared" si="68"/>
        <v>0</v>
      </c>
      <c r="BI80" s="24">
        <f t="shared" si="68"/>
        <v>0</v>
      </c>
      <c r="BJ80" s="24">
        <f t="shared" si="68"/>
        <v>0</v>
      </c>
      <c r="BK80" s="24">
        <f t="shared" si="68"/>
        <v>0</v>
      </c>
      <c r="BL80" s="24">
        <f t="shared" si="68"/>
        <v>0</v>
      </c>
      <c r="BM80" s="24">
        <f t="shared" si="68"/>
        <v>0</v>
      </c>
      <c r="BN80" s="24">
        <f t="shared" si="68"/>
        <v>0</v>
      </c>
      <c r="BO80" s="24">
        <f t="shared" si="68"/>
        <v>0</v>
      </c>
      <c r="BP80" s="24">
        <f t="shared" si="68"/>
        <v>0</v>
      </c>
      <c r="BQ80" s="24">
        <f t="shared" si="68"/>
        <v>0</v>
      </c>
      <c r="BR80" s="24">
        <f t="shared" si="68"/>
        <v>0</v>
      </c>
      <c r="BS80" s="24">
        <f t="shared" si="68"/>
        <v>0</v>
      </c>
      <c r="BT80" s="24">
        <f t="shared" si="68"/>
        <v>0</v>
      </c>
      <c r="BU80" s="24">
        <f t="shared" si="68"/>
        <v>0</v>
      </c>
      <c r="BV80" s="24">
        <f t="shared" si="68"/>
        <v>0</v>
      </c>
      <c r="BW80" s="24">
        <f t="shared" si="68"/>
        <v>0</v>
      </c>
      <c r="BX80" s="24">
        <f t="shared" si="69"/>
        <v>3900000</v>
      </c>
      <c r="BY80" s="24">
        <f t="shared" si="69"/>
        <v>0</v>
      </c>
      <c r="BZ80" s="24">
        <f t="shared" si="69"/>
        <v>0</v>
      </c>
      <c r="CA80" s="24">
        <f t="shared" si="69"/>
        <v>0</v>
      </c>
      <c r="CB80" s="24">
        <f t="shared" si="69"/>
        <v>0</v>
      </c>
      <c r="CC80" s="24">
        <f t="shared" si="69"/>
        <v>0</v>
      </c>
      <c r="CD80" s="24">
        <f t="shared" si="69"/>
        <v>0</v>
      </c>
      <c r="CE80" s="27">
        <f t="shared" si="48"/>
        <v>0.93500000000000005</v>
      </c>
      <c r="CF80" s="24">
        <f t="shared" si="73"/>
        <v>56100000</v>
      </c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>
        <f>+[4]JULIO!$H$677</f>
        <v>56100000</v>
      </c>
      <c r="CX80" s="24"/>
      <c r="CY80" s="24"/>
      <c r="CZ80" s="24"/>
      <c r="DA80" s="24"/>
      <c r="DB80" s="24"/>
      <c r="DC80" s="24"/>
      <c r="DD80" s="27">
        <f t="shared" si="59"/>
        <v>6.4999999999999947E-2</v>
      </c>
      <c r="DE80" s="24">
        <f t="shared" si="50"/>
        <v>3900000</v>
      </c>
      <c r="DF80" s="24">
        <f t="shared" si="70"/>
        <v>0</v>
      </c>
      <c r="DG80" s="24">
        <f t="shared" si="70"/>
        <v>0</v>
      </c>
      <c r="DH80" s="24">
        <f t="shared" si="70"/>
        <v>0</v>
      </c>
      <c r="DI80" s="24">
        <f t="shared" si="70"/>
        <v>0</v>
      </c>
      <c r="DJ80" s="24">
        <f t="shared" si="70"/>
        <v>0</v>
      </c>
      <c r="DK80" s="24">
        <f t="shared" si="70"/>
        <v>0</v>
      </c>
      <c r="DL80" s="24">
        <f t="shared" si="70"/>
        <v>0</v>
      </c>
      <c r="DM80" s="24">
        <f t="shared" si="70"/>
        <v>0</v>
      </c>
      <c r="DN80" s="24">
        <f t="shared" si="70"/>
        <v>0</v>
      </c>
      <c r="DO80" s="24">
        <f t="shared" si="70"/>
        <v>0</v>
      </c>
      <c r="DP80" s="24">
        <f t="shared" si="70"/>
        <v>0</v>
      </c>
      <c r="DQ80" s="24">
        <f t="shared" si="70"/>
        <v>0</v>
      </c>
      <c r="DR80" s="24">
        <f t="shared" si="70"/>
        <v>0</v>
      </c>
      <c r="DS80" s="24">
        <f t="shared" si="70"/>
        <v>0</v>
      </c>
      <c r="DT80" s="24">
        <f t="shared" si="70"/>
        <v>0</v>
      </c>
      <c r="DU80" s="24">
        <f t="shared" si="70"/>
        <v>0</v>
      </c>
      <c r="DV80" s="24">
        <f t="shared" si="71"/>
        <v>3900000</v>
      </c>
      <c r="DW80" s="24">
        <f t="shared" si="71"/>
        <v>0</v>
      </c>
      <c r="DX80" s="24">
        <f t="shared" si="71"/>
        <v>0</v>
      </c>
      <c r="DY80" s="24">
        <f t="shared" si="71"/>
        <v>0</v>
      </c>
      <c r="DZ80" s="24">
        <f t="shared" si="71"/>
        <v>0</v>
      </c>
      <c r="EA80" s="24">
        <f t="shared" si="71"/>
        <v>0</v>
      </c>
      <c r="EB80" s="24">
        <f t="shared" si="71"/>
        <v>0</v>
      </c>
      <c r="ED80" s="150"/>
      <c r="EE80" s="45">
        <f t="shared" si="32"/>
        <v>60000000</v>
      </c>
      <c r="EF80" s="45">
        <f t="shared" si="33"/>
        <v>56100000</v>
      </c>
      <c r="EG80" s="159">
        <f t="shared" si="34"/>
        <v>0.93500000000000005</v>
      </c>
    </row>
    <row r="81" spans="1:137" s="44" customFormat="1" ht="21" hidden="1" customHeight="1" x14ac:dyDescent="0.25">
      <c r="A81" s="239"/>
      <c r="B81" s="231"/>
      <c r="C81" s="191" t="s">
        <v>245</v>
      </c>
      <c r="D81" s="190" t="s">
        <v>246</v>
      </c>
      <c r="E81" s="33">
        <v>301</v>
      </c>
      <c r="F81" s="188" t="s">
        <v>240</v>
      </c>
      <c r="G81" s="24">
        <f t="shared" si="66"/>
        <v>10000000</v>
      </c>
      <c r="H81" s="25">
        <f>+'[14]SB 2020 2024'!$F$8</f>
        <v>20000000</v>
      </c>
      <c r="I81" s="25">
        <f t="shared" si="72"/>
        <v>10000000</v>
      </c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>
        <v>10000000</v>
      </c>
      <c r="AA81" s="24"/>
      <c r="AB81" s="24"/>
      <c r="AC81" s="24"/>
      <c r="AD81" s="24"/>
      <c r="AE81" s="24"/>
      <c r="AF81" s="24">
        <v>0</v>
      </c>
      <c r="AG81" s="27">
        <f t="shared" si="58"/>
        <v>0</v>
      </c>
      <c r="AH81" s="24">
        <f t="shared" si="44"/>
        <v>0</v>
      </c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7">
        <f t="shared" si="60"/>
        <v>1</v>
      </c>
      <c r="BG81" s="24">
        <f t="shared" si="67"/>
        <v>10000000</v>
      </c>
      <c r="BH81" s="24">
        <f t="shared" si="68"/>
        <v>0</v>
      </c>
      <c r="BI81" s="24">
        <f t="shared" si="68"/>
        <v>0</v>
      </c>
      <c r="BJ81" s="24">
        <f t="shared" si="68"/>
        <v>0</v>
      </c>
      <c r="BK81" s="24">
        <f t="shared" si="68"/>
        <v>0</v>
      </c>
      <c r="BL81" s="24">
        <f t="shared" si="68"/>
        <v>0</v>
      </c>
      <c r="BM81" s="24">
        <f t="shared" si="68"/>
        <v>0</v>
      </c>
      <c r="BN81" s="24">
        <f t="shared" si="68"/>
        <v>0</v>
      </c>
      <c r="BO81" s="24">
        <f t="shared" si="68"/>
        <v>0</v>
      </c>
      <c r="BP81" s="24">
        <f t="shared" si="68"/>
        <v>0</v>
      </c>
      <c r="BQ81" s="24">
        <f t="shared" si="68"/>
        <v>0</v>
      </c>
      <c r="BR81" s="24">
        <f t="shared" si="68"/>
        <v>0</v>
      </c>
      <c r="BS81" s="24">
        <f t="shared" si="68"/>
        <v>0</v>
      </c>
      <c r="BT81" s="24">
        <f t="shared" si="68"/>
        <v>0</v>
      </c>
      <c r="BU81" s="24">
        <f t="shared" si="68"/>
        <v>0</v>
      </c>
      <c r="BV81" s="24">
        <f t="shared" si="68"/>
        <v>0</v>
      </c>
      <c r="BW81" s="24">
        <f t="shared" si="68"/>
        <v>0</v>
      </c>
      <c r="BX81" s="24">
        <f t="shared" si="69"/>
        <v>10000000</v>
      </c>
      <c r="BY81" s="24">
        <f t="shared" si="69"/>
        <v>0</v>
      </c>
      <c r="BZ81" s="24">
        <f t="shared" si="69"/>
        <v>0</v>
      </c>
      <c r="CA81" s="24">
        <f t="shared" si="69"/>
        <v>0</v>
      </c>
      <c r="CB81" s="24">
        <f t="shared" si="69"/>
        <v>0</v>
      </c>
      <c r="CC81" s="24">
        <f t="shared" si="69"/>
        <v>0</v>
      </c>
      <c r="CD81" s="24">
        <f t="shared" si="69"/>
        <v>0</v>
      </c>
      <c r="CE81" s="27">
        <f t="shared" si="48"/>
        <v>0</v>
      </c>
      <c r="CF81" s="24">
        <f t="shared" si="73"/>
        <v>0</v>
      </c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7">
        <f t="shared" si="59"/>
        <v>1</v>
      </c>
      <c r="DE81" s="24">
        <f t="shared" si="50"/>
        <v>10000000</v>
      </c>
      <c r="DF81" s="24">
        <f t="shared" si="70"/>
        <v>0</v>
      </c>
      <c r="DG81" s="24">
        <f t="shared" si="70"/>
        <v>0</v>
      </c>
      <c r="DH81" s="24">
        <f t="shared" si="70"/>
        <v>0</v>
      </c>
      <c r="DI81" s="24">
        <f t="shared" si="70"/>
        <v>0</v>
      </c>
      <c r="DJ81" s="24">
        <f t="shared" si="70"/>
        <v>0</v>
      </c>
      <c r="DK81" s="24">
        <f t="shared" si="70"/>
        <v>0</v>
      </c>
      <c r="DL81" s="24">
        <f t="shared" si="70"/>
        <v>0</v>
      </c>
      <c r="DM81" s="24">
        <f t="shared" si="70"/>
        <v>0</v>
      </c>
      <c r="DN81" s="24">
        <f t="shared" si="70"/>
        <v>0</v>
      </c>
      <c r="DO81" s="24">
        <f t="shared" si="70"/>
        <v>0</v>
      </c>
      <c r="DP81" s="24">
        <f t="shared" si="70"/>
        <v>0</v>
      </c>
      <c r="DQ81" s="24">
        <f t="shared" si="70"/>
        <v>0</v>
      </c>
      <c r="DR81" s="24">
        <f t="shared" si="70"/>
        <v>0</v>
      </c>
      <c r="DS81" s="24">
        <f t="shared" si="70"/>
        <v>0</v>
      </c>
      <c r="DT81" s="24">
        <f t="shared" si="70"/>
        <v>0</v>
      </c>
      <c r="DU81" s="24">
        <f t="shared" si="70"/>
        <v>0</v>
      </c>
      <c r="DV81" s="24">
        <f t="shared" si="71"/>
        <v>10000000</v>
      </c>
      <c r="DW81" s="24">
        <f t="shared" si="71"/>
        <v>0</v>
      </c>
      <c r="DX81" s="24">
        <f t="shared" si="71"/>
        <v>0</v>
      </c>
      <c r="DY81" s="24">
        <f t="shared" si="71"/>
        <v>0</v>
      </c>
      <c r="DZ81" s="24">
        <f t="shared" si="71"/>
        <v>0</v>
      </c>
      <c r="EA81" s="24">
        <f t="shared" si="71"/>
        <v>0</v>
      </c>
      <c r="EB81" s="24">
        <f t="shared" si="71"/>
        <v>0</v>
      </c>
      <c r="ED81" s="150"/>
      <c r="EE81" s="45">
        <f t="shared" si="32"/>
        <v>10000000</v>
      </c>
      <c r="EF81" s="45">
        <f t="shared" si="33"/>
        <v>0</v>
      </c>
      <c r="EG81" s="159">
        <f t="shared" si="34"/>
        <v>0</v>
      </c>
    </row>
    <row r="82" spans="1:137" s="44" customFormat="1" ht="19.899999999999999" hidden="1" customHeight="1" x14ac:dyDescent="0.25">
      <c r="A82" s="239"/>
      <c r="B82" s="231"/>
      <c r="C82" s="191" t="s">
        <v>247</v>
      </c>
      <c r="D82" s="190" t="s">
        <v>248</v>
      </c>
      <c r="E82" s="33">
        <v>301</v>
      </c>
      <c r="F82" s="188" t="s">
        <v>240</v>
      </c>
      <c r="G82" s="24">
        <f t="shared" si="66"/>
        <v>10000000</v>
      </c>
      <c r="H82" s="25">
        <f>+'[14]SB 2020 2024'!$F$11</f>
        <v>17000000</v>
      </c>
      <c r="I82" s="25">
        <f t="shared" si="72"/>
        <v>7000000</v>
      </c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>
        <v>10000000</v>
      </c>
      <c r="AA82" s="24"/>
      <c r="AB82" s="24"/>
      <c r="AC82" s="24"/>
      <c r="AD82" s="24"/>
      <c r="AE82" s="24"/>
      <c r="AF82" s="24">
        <v>0</v>
      </c>
      <c r="AG82" s="27">
        <f t="shared" si="58"/>
        <v>0</v>
      </c>
      <c r="AH82" s="24">
        <f t="shared" si="44"/>
        <v>0</v>
      </c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7">
        <f t="shared" si="60"/>
        <v>1</v>
      </c>
      <c r="BG82" s="24">
        <f t="shared" si="67"/>
        <v>10000000</v>
      </c>
      <c r="BH82" s="24">
        <f t="shared" si="68"/>
        <v>0</v>
      </c>
      <c r="BI82" s="24">
        <f t="shared" si="68"/>
        <v>0</v>
      </c>
      <c r="BJ82" s="24">
        <f t="shared" si="68"/>
        <v>0</v>
      </c>
      <c r="BK82" s="24">
        <f t="shared" si="68"/>
        <v>0</v>
      </c>
      <c r="BL82" s="24">
        <f t="shared" si="68"/>
        <v>0</v>
      </c>
      <c r="BM82" s="24">
        <f t="shared" si="68"/>
        <v>0</v>
      </c>
      <c r="BN82" s="24">
        <f t="shared" si="68"/>
        <v>0</v>
      </c>
      <c r="BO82" s="24">
        <f t="shared" si="68"/>
        <v>0</v>
      </c>
      <c r="BP82" s="24">
        <f t="shared" si="68"/>
        <v>0</v>
      </c>
      <c r="BQ82" s="24">
        <f t="shared" si="68"/>
        <v>0</v>
      </c>
      <c r="BR82" s="24">
        <f t="shared" si="68"/>
        <v>0</v>
      </c>
      <c r="BS82" s="24">
        <f t="shared" si="68"/>
        <v>0</v>
      </c>
      <c r="BT82" s="24">
        <f t="shared" si="68"/>
        <v>0</v>
      </c>
      <c r="BU82" s="24">
        <f t="shared" si="68"/>
        <v>0</v>
      </c>
      <c r="BV82" s="24">
        <f t="shared" si="68"/>
        <v>0</v>
      </c>
      <c r="BW82" s="24">
        <f t="shared" si="68"/>
        <v>0</v>
      </c>
      <c r="BX82" s="24">
        <f t="shared" si="69"/>
        <v>10000000</v>
      </c>
      <c r="BY82" s="24">
        <f t="shared" si="69"/>
        <v>0</v>
      </c>
      <c r="BZ82" s="24">
        <f t="shared" si="69"/>
        <v>0</v>
      </c>
      <c r="CA82" s="24">
        <f t="shared" si="69"/>
        <v>0</v>
      </c>
      <c r="CB82" s="24">
        <f t="shared" si="69"/>
        <v>0</v>
      </c>
      <c r="CC82" s="24">
        <f t="shared" si="69"/>
        <v>0</v>
      </c>
      <c r="CD82" s="24">
        <f t="shared" si="69"/>
        <v>0</v>
      </c>
      <c r="CE82" s="27">
        <f t="shared" si="48"/>
        <v>0</v>
      </c>
      <c r="CF82" s="24">
        <f t="shared" si="73"/>
        <v>0</v>
      </c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7">
        <f t="shared" si="59"/>
        <v>1</v>
      </c>
      <c r="DE82" s="24">
        <f t="shared" si="50"/>
        <v>10000000</v>
      </c>
      <c r="DF82" s="24">
        <f t="shared" si="70"/>
        <v>0</v>
      </c>
      <c r="DG82" s="24">
        <f t="shared" si="70"/>
        <v>0</v>
      </c>
      <c r="DH82" s="24">
        <f t="shared" si="70"/>
        <v>0</v>
      </c>
      <c r="DI82" s="24">
        <f t="shared" si="70"/>
        <v>0</v>
      </c>
      <c r="DJ82" s="24">
        <f t="shared" si="70"/>
        <v>0</v>
      </c>
      <c r="DK82" s="24">
        <f t="shared" si="70"/>
        <v>0</v>
      </c>
      <c r="DL82" s="24">
        <f t="shared" si="70"/>
        <v>0</v>
      </c>
      <c r="DM82" s="24">
        <f t="shared" si="70"/>
        <v>0</v>
      </c>
      <c r="DN82" s="24">
        <f t="shared" si="70"/>
        <v>0</v>
      </c>
      <c r="DO82" s="24">
        <f t="shared" si="70"/>
        <v>0</v>
      </c>
      <c r="DP82" s="24">
        <f t="shared" si="70"/>
        <v>0</v>
      </c>
      <c r="DQ82" s="24">
        <f t="shared" si="70"/>
        <v>0</v>
      </c>
      <c r="DR82" s="24">
        <f t="shared" si="70"/>
        <v>0</v>
      </c>
      <c r="DS82" s="24">
        <f t="shared" si="70"/>
        <v>0</v>
      </c>
      <c r="DT82" s="24">
        <f t="shared" si="70"/>
        <v>0</v>
      </c>
      <c r="DU82" s="24">
        <f t="shared" si="70"/>
        <v>0</v>
      </c>
      <c r="DV82" s="24">
        <f t="shared" si="71"/>
        <v>10000000</v>
      </c>
      <c r="DW82" s="24">
        <f t="shared" si="71"/>
        <v>0</v>
      </c>
      <c r="DX82" s="24">
        <f t="shared" si="71"/>
        <v>0</v>
      </c>
      <c r="DY82" s="24">
        <f t="shared" si="71"/>
        <v>0</v>
      </c>
      <c r="DZ82" s="24">
        <f t="shared" si="71"/>
        <v>0</v>
      </c>
      <c r="EA82" s="24">
        <f t="shared" si="71"/>
        <v>0</v>
      </c>
      <c r="EB82" s="24">
        <f t="shared" si="71"/>
        <v>0</v>
      </c>
      <c r="ED82" s="150"/>
      <c r="EE82" s="45">
        <f t="shared" si="32"/>
        <v>10000000</v>
      </c>
      <c r="EF82" s="45">
        <f t="shared" si="33"/>
        <v>0</v>
      </c>
      <c r="EG82" s="159">
        <f t="shared" si="34"/>
        <v>0</v>
      </c>
    </row>
    <row r="83" spans="1:137" s="44" customFormat="1" ht="33.6" hidden="1" customHeight="1" x14ac:dyDescent="0.25">
      <c r="A83" s="239"/>
      <c r="B83" s="231"/>
      <c r="C83" s="191" t="s">
        <v>249</v>
      </c>
      <c r="D83" s="190" t="s">
        <v>250</v>
      </c>
      <c r="E83" s="33">
        <v>301</v>
      </c>
      <c r="F83" s="188" t="s">
        <v>240</v>
      </c>
      <c r="G83" s="24">
        <f t="shared" si="66"/>
        <v>15000000</v>
      </c>
      <c r="H83" s="25">
        <f>+'[14]SB 2020 2024'!$F$14</f>
        <v>41000000</v>
      </c>
      <c r="I83" s="25">
        <f t="shared" si="72"/>
        <v>26000000</v>
      </c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>
        <v>15000000</v>
      </c>
      <c r="AA83" s="24"/>
      <c r="AB83" s="24"/>
      <c r="AC83" s="24"/>
      <c r="AD83" s="24"/>
      <c r="AE83" s="24"/>
      <c r="AF83" s="24">
        <v>0</v>
      </c>
      <c r="AG83" s="27">
        <f t="shared" si="58"/>
        <v>0.79733333333333334</v>
      </c>
      <c r="AH83" s="24">
        <f t="shared" si="44"/>
        <v>11960000</v>
      </c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>
        <f>+[3]SEPTIEMBRE!$Z$843</f>
        <v>11960000</v>
      </c>
      <c r="AZ83" s="24"/>
      <c r="BA83" s="24"/>
      <c r="BB83" s="24"/>
      <c r="BC83" s="24"/>
      <c r="BD83" s="24"/>
      <c r="BE83" s="24"/>
      <c r="BF83" s="27">
        <f t="shared" si="60"/>
        <v>0.20266666666666666</v>
      </c>
      <c r="BG83" s="24">
        <f t="shared" si="67"/>
        <v>3040000</v>
      </c>
      <c r="BH83" s="24">
        <f t="shared" si="68"/>
        <v>0</v>
      </c>
      <c r="BI83" s="24">
        <f t="shared" si="68"/>
        <v>0</v>
      </c>
      <c r="BJ83" s="24">
        <f t="shared" si="68"/>
        <v>0</v>
      </c>
      <c r="BK83" s="24">
        <f t="shared" si="68"/>
        <v>0</v>
      </c>
      <c r="BL83" s="24">
        <f t="shared" si="68"/>
        <v>0</v>
      </c>
      <c r="BM83" s="24">
        <f t="shared" si="68"/>
        <v>0</v>
      </c>
      <c r="BN83" s="24">
        <f t="shared" si="68"/>
        <v>0</v>
      </c>
      <c r="BO83" s="24">
        <f t="shared" si="68"/>
        <v>0</v>
      </c>
      <c r="BP83" s="24">
        <f t="shared" si="68"/>
        <v>0</v>
      </c>
      <c r="BQ83" s="24">
        <f t="shared" si="68"/>
        <v>0</v>
      </c>
      <c r="BR83" s="24">
        <f t="shared" si="68"/>
        <v>0</v>
      </c>
      <c r="BS83" s="24">
        <f t="shared" si="68"/>
        <v>0</v>
      </c>
      <c r="BT83" s="24">
        <f t="shared" si="68"/>
        <v>0</v>
      </c>
      <c r="BU83" s="24">
        <f t="shared" si="68"/>
        <v>0</v>
      </c>
      <c r="BV83" s="24">
        <f t="shared" si="68"/>
        <v>0</v>
      </c>
      <c r="BW83" s="24">
        <f t="shared" si="68"/>
        <v>0</v>
      </c>
      <c r="BX83" s="24">
        <f t="shared" si="69"/>
        <v>3040000</v>
      </c>
      <c r="BY83" s="24">
        <f t="shared" si="69"/>
        <v>0</v>
      </c>
      <c r="BZ83" s="24">
        <f t="shared" si="69"/>
        <v>0</v>
      </c>
      <c r="CA83" s="24">
        <f t="shared" si="69"/>
        <v>0</v>
      </c>
      <c r="CB83" s="24">
        <f t="shared" si="69"/>
        <v>0</v>
      </c>
      <c r="CC83" s="24">
        <f t="shared" si="69"/>
        <v>0</v>
      </c>
      <c r="CD83" s="24">
        <f t="shared" si="69"/>
        <v>0</v>
      </c>
      <c r="CE83" s="27">
        <f t="shared" si="48"/>
        <v>0.79733333333333334</v>
      </c>
      <c r="CF83" s="24">
        <f t="shared" si="73"/>
        <v>11960000</v>
      </c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>
        <f>+[4]JULIO!$H$713</f>
        <v>11960000</v>
      </c>
      <c r="CX83" s="24"/>
      <c r="CY83" s="24"/>
      <c r="CZ83" s="24"/>
      <c r="DA83" s="24"/>
      <c r="DB83" s="24"/>
      <c r="DC83" s="24"/>
      <c r="DD83" s="27">
        <f t="shared" si="59"/>
        <v>0.20266666666666666</v>
      </c>
      <c r="DE83" s="24">
        <f t="shared" si="50"/>
        <v>3040000</v>
      </c>
      <c r="DF83" s="24">
        <f t="shared" si="70"/>
        <v>0</v>
      </c>
      <c r="DG83" s="24">
        <f t="shared" si="70"/>
        <v>0</v>
      </c>
      <c r="DH83" s="24">
        <f t="shared" si="70"/>
        <v>0</v>
      </c>
      <c r="DI83" s="24">
        <f t="shared" si="70"/>
        <v>0</v>
      </c>
      <c r="DJ83" s="24">
        <f t="shared" si="70"/>
        <v>0</v>
      </c>
      <c r="DK83" s="24">
        <f t="shared" si="70"/>
        <v>0</v>
      </c>
      <c r="DL83" s="24">
        <f t="shared" si="70"/>
        <v>0</v>
      </c>
      <c r="DM83" s="24">
        <f t="shared" si="70"/>
        <v>0</v>
      </c>
      <c r="DN83" s="24">
        <f t="shared" si="70"/>
        <v>0</v>
      </c>
      <c r="DO83" s="24">
        <f t="shared" si="70"/>
        <v>0</v>
      </c>
      <c r="DP83" s="24">
        <f t="shared" si="70"/>
        <v>0</v>
      </c>
      <c r="DQ83" s="24">
        <f t="shared" si="70"/>
        <v>0</v>
      </c>
      <c r="DR83" s="24">
        <f t="shared" si="70"/>
        <v>0</v>
      </c>
      <c r="DS83" s="24">
        <f t="shared" si="70"/>
        <v>0</v>
      </c>
      <c r="DT83" s="24">
        <f t="shared" si="70"/>
        <v>0</v>
      </c>
      <c r="DU83" s="24">
        <f t="shared" si="70"/>
        <v>0</v>
      </c>
      <c r="DV83" s="24">
        <f t="shared" si="71"/>
        <v>3040000</v>
      </c>
      <c r="DW83" s="24">
        <f t="shared" si="71"/>
        <v>0</v>
      </c>
      <c r="DX83" s="24">
        <f t="shared" si="71"/>
        <v>0</v>
      </c>
      <c r="DY83" s="24">
        <f t="shared" si="71"/>
        <v>0</v>
      </c>
      <c r="DZ83" s="24">
        <f t="shared" si="71"/>
        <v>0</v>
      </c>
      <c r="EA83" s="24">
        <f t="shared" si="71"/>
        <v>0</v>
      </c>
      <c r="EB83" s="24">
        <f t="shared" si="71"/>
        <v>0</v>
      </c>
      <c r="ED83" s="150"/>
      <c r="EE83" s="45">
        <f t="shared" si="32"/>
        <v>15000000</v>
      </c>
      <c r="EF83" s="45">
        <f t="shared" si="33"/>
        <v>11960000</v>
      </c>
      <c r="EG83" s="159">
        <f t="shared" si="34"/>
        <v>0.79733333333333334</v>
      </c>
    </row>
    <row r="84" spans="1:137" s="44" customFormat="1" ht="36" hidden="1" customHeight="1" x14ac:dyDescent="0.25">
      <c r="A84" s="239"/>
      <c r="B84" s="229"/>
      <c r="C84" s="191" t="s">
        <v>251</v>
      </c>
      <c r="D84" s="190" t="s">
        <v>252</v>
      </c>
      <c r="E84" s="190">
        <v>301</v>
      </c>
      <c r="F84" s="192" t="s">
        <v>240</v>
      </c>
      <c r="G84" s="24">
        <f t="shared" si="66"/>
        <v>70000000</v>
      </c>
      <c r="H84" s="71">
        <f>+'[14]SB 2020 2024'!$F$17</f>
        <v>141000000</v>
      </c>
      <c r="I84" s="71">
        <f t="shared" si="72"/>
        <v>71000000</v>
      </c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>
        <v>70000000</v>
      </c>
      <c r="AA84" s="24"/>
      <c r="AB84" s="24"/>
      <c r="AC84" s="24"/>
      <c r="AD84" s="24"/>
      <c r="AE84" s="24"/>
      <c r="AF84" s="24">
        <v>0</v>
      </c>
      <c r="AG84" s="27">
        <f t="shared" si="58"/>
        <v>1</v>
      </c>
      <c r="AH84" s="24">
        <f t="shared" si="44"/>
        <v>70000000</v>
      </c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>
        <f>+[4]JULIO!$Z$725</f>
        <v>70000000</v>
      </c>
      <c r="AZ84" s="24"/>
      <c r="BA84" s="24"/>
      <c r="BB84" s="24"/>
      <c r="BC84" s="24"/>
      <c r="BD84" s="24"/>
      <c r="BE84" s="24"/>
      <c r="BF84" s="72">
        <f t="shared" si="60"/>
        <v>0</v>
      </c>
      <c r="BG84" s="24">
        <f t="shared" si="67"/>
        <v>0</v>
      </c>
      <c r="BH84" s="24">
        <f t="shared" si="68"/>
        <v>0</v>
      </c>
      <c r="BI84" s="24">
        <f t="shared" si="68"/>
        <v>0</v>
      </c>
      <c r="BJ84" s="24">
        <f t="shared" si="68"/>
        <v>0</v>
      </c>
      <c r="BK84" s="24">
        <f t="shared" si="68"/>
        <v>0</v>
      </c>
      <c r="BL84" s="24">
        <f t="shared" si="68"/>
        <v>0</v>
      </c>
      <c r="BM84" s="24">
        <f t="shared" si="68"/>
        <v>0</v>
      </c>
      <c r="BN84" s="24">
        <f t="shared" si="68"/>
        <v>0</v>
      </c>
      <c r="BO84" s="24">
        <f t="shared" si="68"/>
        <v>0</v>
      </c>
      <c r="BP84" s="24">
        <f t="shared" si="68"/>
        <v>0</v>
      </c>
      <c r="BQ84" s="24">
        <f t="shared" si="68"/>
        <v>0</v>
      </c>
      <c r="BR84" s="24">
        <f t="shared" si="68"/>
        <v>0</v>
      </c>
      <c r="BS84" s="24">
        <f t="shared" si="68"/>
        <v>0</v>
      </c>
      <c r="BT84" s="24">
        <f t="shared" si="68"/>
        <v>0</v>
      </c>
      <c r="BU84" s="24">
        <f t="shared" si="68"/>
        <v>0</v>
      </c>
      <c r="BV84" s="24">
        <f t="shared" si="68"/>
        <v>0</v>
      </c>
      <c r="BW84" s="24">
        <f t="shared" si="68"/>
        <v>0</v>
      </c>
      <c r="BX84" s="24">
        <f t="shared" si="69"/>
        <v>0</v>
      </c>
      <c r="BY84" s="24">
        <f t="shared" si="69"/>
        <v>0</v>
      </c>
      <c r="BZ84" s="24">
        <f t="shared" si="69"/>
        <v>0</v>
      </c>
      <c r="CA84" s="24">
        <f t="shared" si="69"/>
        <v>0</v>
      </c>
      <c r="CB84" s="24">
        <f t="shared" si="69"/>
        <v>0</v>
      </c>
      <c r="CC84" s="24">
        <f t="shared" si="69"/>
        <v>0</v>
      </c>
      <c r="CD84" s="24">
        <f t="shared" si="69"/>
        <v>0</v>
      </c>
      <c r="CE84" s="27">
        <f t="shared" si="48"/>
        <v>0.98995235714285712</v>
      </c>
      <c r="CF84" s="24">
        <f t="shared" si="73"/>
        <v>69296665</v>
      </c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>
        <f>+[3]SEPTIEMBRE!$H$851</f>
        <v>69296665</v>
      </c>
      <c r="CX84" s="24"/>
      <c r="CY84" s="24"/>
      <c r="CZ84" s="24"/>
      <c r="DA84" s="24"/>
      <c r="DB84" s="24"/>
      <c r="DC84" s="24"/>
      <c r="DD84" s="72">
        <f t="shared" si="59"/>
        <v>1.004764285714288E-2</v>
      </c>
      <c r="DE84" s="24">
        <f t="shared" si="50"/>
        <v>703335</v>
      </c>
      <c r="DF84" s="24">
        <f t="shared" si="70"/>
        <v>0</v>
      </c>
      <c r="DG84" s="24">
        <f t="shared" si="70"/>
        <v>0</v>
      </c>
      <c r="DH84" s="24">
        <f t="shared" si="70"/>
        <v>0</v>
      </c>
      <c r="DI84" s="24">
        <f t="shared" si="70"/>
        <v>0</v>
      </c>
      <c r="DJ84" s="24">
        <f t="shared" si="70"/>
        <v>0</v>
      </c>
      <c r="DK84" s="24">
        <f t="shared" si="70"/>
        <v>0</v>
      </c>
      <c r="DL84" s="24">
        <f t="shared" si="70"/>
        <v>0</v>
      </c>
      <c r="DM84" s="24">
        <f t="shared" si="70"/>
        <v>0</v>
      </c>
      <c r="DN84" s="24">
        <f t="shared" si="70"/>
        <v>0</v>
      </c>
      <c r="DO84" s="24">
        <f t="shared" si="70"/>
        <v>0</v>
      </c>
      <c r="DP84" s="24">
        <f t="shared" si="70"/>
        <v>0</v>
      </c>
      <c r="DQ84" s="24">
        <f t="shared" si="70"/>
        <v>0</v>
      </c>
      <c r="DR84" s="24">
        <f t="shared" si="70"/>
        <v>0</v>
      </c>
      <c r="DS84" s="24">
        <f t="shared" si="70"/>
        <v>0</v>
      </c>
      <c r="DT84" s="24">
        <f t="shared" si="70"/>
        <v>0</v>
      </c>
      <c r="DU84" s="24">
        <f t="shared" si="70"/>
        <v>0</v>
      </c>
      <c r="DV84" s="24">
        <f t="shared" si="71"/>
        <v>703335</v>
      </c>
      <c r="DW84" s="24">
        <f t="shared" si="71"/>
        <v>0</v>
      </c>
      <c r="DX84" s="24">
        <f t="shared" si="71"/>
        <v>0</v>
      </c>
      <c r="DY84" s="24">
        <f t="shared" si="71"/>
        <v>0</v>
      </c>
      <c r="DZ84" s="24">
        <f t="shared" si="71"/>
        <v>0</v>
      </c>
      <c r="EA84" s="24">
        <f t="shared" si="71"/>
        <v>0</v>
      </c>
      <c r="EB84" s="24">
        <f t="shared" si="71"/>
        <v>0</v>
      </c>
      <c r="ED84" s="150"/>
      <c r="EE84" s="45">
        <f t="shared" si="32"/>
        <v>70000000</v>
      </c>
      <c r="EF84" s="45">
        <f t="shared" si="33"/>
        <v>69296665</v>
      </c>
      <c r="EG84" s="159">
        <f t="shared" si="34"/>
        <v>0.98995235714285712</v>
      </c>
    </row>
    <row r="85" spans="1:137" ht="36.75" hidden="1" customHeight="1" x14ac:dyDescent="0.25">
      <c r="A85" s="239"/>
      <c r="B85" s="228" t="s">
        <v>253</v>
      </c>
      <c r="C85" s="197" t="s">
        <v>254</v>
      </c>
      <c r="D85" s="190" t="s">
        <v>255</v>
      </c>
      <c r="E85" s="33">
        <v>301</v>
      </c>
      <c r="F85" s="188" t="s">
        <v>256</v>
      </c>
      <c r="G85" s="24">
        <f t="shared" si="66"/>
        <v>56200000</v>
      </c>
      <c r="H85" s="25">
        <f>+'[14]SB 2020 2024'!$F$25</f>
        <v>97200000</v>
      </c>
      <c r="I85" s="25">
        <f t="shared" si="72"/>
        <v>41000000</v>
      </c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>
        <v>48200000</v>
      </c>
      <c r="AD85" s="24"/>
      <c r="AE85" s="24"/>
      <c r="AF85" s="24">
        <f>3000000+5000000</f>
        <v>8000000</v>
      </c>
      <c r="AG85" s="27">
        <f t="shared" si="58"/>
        <v>0.85765124555160144</v>
      </c>
      <c r="AH85" s="24">
        <f t="shared" si="44"/>
        <v>48200000</v>
      </c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>
        <f>+[4]JULIO!$AC$745</f>
        <v>48200000</v>
      </c>
      <c r="BC85" s="24"/>
      <c r="BD85" s="24"/>
      <c r="BE85" s="24"/>
      <c r="BF85" s="27">
        <f t="shared" si="60"/>
        <v>0.14234875444839856</v>
      </c>
      <c r="BG85" s="24">
        <f t="shared" si="67"/>
        <v>8000000</v>
      </c>
      <c r="BH85" s="24">
        <f t="shared" si="68"/>
        <v>0</v>
      </c>
      <c r="BI85" s="24">
        <f t="shared" si="68"/>
        <v>0</v>
      </c>
      <c r="BJ85" s="24">
        <f t="shared" si="68"/>
        <v>0</v>
      </c>
      <c r="BK85" s="24">
        <f t="shared" si="68"/>
        <v>0</v>
      </c>
      <c r="BL85" s="24">
        <f t="shared" si="68"/>
        <v>0</v>
      </c>
      <c r="BM85" s="24">
        <f t="shared" si="68"/>
        <v>0</v>
      </c>
      <c r="BN85" s="24">
        <f t="shared" si="68"/>
        <v>0</v>
      </c>
      <c r="BO85" s="24">
        <f t="shared" si="68"/>
        <v>0</v>
      </c>
      <c r="BP85" s="24">
        <f t="shared" si="68"/>
        <v>0</v>
      </c>
      <c r="BQ85" s="24">
        <f t="shared" si="68"/>
        <v>0</v>
      </c>
      <c r="BR85" s="24">
        <f t="shared" si="68"/>
        <v>0</v>
      </c>
      <c r="BS85" s="24">
        <f t="shared" si="68"/>
        <v>0</v>
      </c>
      <c r="BT85" s="24">
        <f t="shared" si="68"/>
        <v>0</v>
      </c>
      <c r="BU85" s="24">
        <f t="shared" si="68"/>
        <v>0</v>
      </c>
      <c r="BV85" s="24">
        <f t="shared" si="68"/>
        <v>0</v>
      </c>
      <c r="BW85" s="24">
        <f t="shared" si="68"/>
        <v>0</v>
      </c>
      <c r="BX85" s="24">
        <f t="shared" si="69"/>
        <v>0</v>
      </c>
      <c r="BY85" s="24">
        <f t="shared" si="69"/>
        <v>0</v>
      </c>
      <c r="BZ85" s="24">
        <f t="shared" si="69"/>
        <v>0</v>
      </c>
      <c r="CA85" s="24">
        <f t="shared" si="69"/>
        <v>0</v>
      </c>
      <c r="CB85" s="24">
        <f t="shared" si="69"/>
        <v>0</v>
      </c>
      <c r="CC85" s="24">
        <f t="shared" si="69"/>
        <v>0</v>
      </c>
      <c r="CD85" s="24">
        <f t="shared" si="69"/>
        <v>8000000</v>
      </c>
      <c r="CE85" s="27">
        <f t="shared" si="48"/>
        <v>0.83319592526690389</v>
      </c>
      <c r="CF85" s="24">
        <f t="shared" si="73"/>
        <v>46825611</v>
      </c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>
        <f>+[2]OCTUBRE!$H$926</f>
        <v>46825611</v>
      </c>
      <c r="DA85" s="24"/>
      <c r="DB85" s="24"/>
      <c r="DC85" s="24"/>
      <c r="DD85" s="27">
        <f t="shared" si="59"/>
        <v>0.16680407473309611</v>
      </c>
      <c r="DE85" s="24">
        <f t="shared" si="50"/>
        <v>9374389</v>
      </c>
      <c r="DF85" s="24">
        <f t="shared" si="70"/>
        <v>0</v>
      </c>
      <c r="DG85" s="24">
        <f t="shared" si="70"/>
        <v>0</v>
      </c>
      <c r="DH85" s="24">
        <f t="shared" si="70"/>
        <v>0</v>
      </c>
      <c r="DI85" s="24">
        <f t="shared" si="70"/>
        <v>0</v>
      </c>
      <c r="DJ85" s="24">
        <f t="shared" si="70"/>
        <v>0</v>
      </c>
      <c r="DK85" s="24">
        <f t="shared" si="70"/>
        <v>0</v>
      </c>
      <c r="DL85" s="24">
        <f t="shared" si="70"/>
        <v>0</v>
      </c>
      <c r="DM85" s="24">
        <f t="shared" si="70"/>
        <v>0</v>
      </c>
      <c r="DN85" s="24">
        <f t="shared" si="70"/>
        <v>0</v>
      </c>
      <c r="DO85" s="24">
        <f t="shared" si="70"/>
        <v>0</v>
      </c>
      <c r="DP85" s="24">
        <f t="shared" si="70"/>
        <v>0</v>
      </c>
      <c r="DQ85" s="24">
        <f t="shared" si="70"/>
        <v>0</v>
      </c>
      <c r="DR85" s="24">
        <f t="shared" si="70"/>
        <v>0</v>
      </c>
      <c r="DS85" s="24">
        <f t="shared" si="70"/>
        <v>0</v>
      </c>
      <c r="DT85" s="24">
        <f t="shared" si="70"/>
        <v>0</v>
      </c>
      <c r="DU85" s="24">
        <f t="shared" si="70"/>
        <v>0</v>
      </c>
      <c r="DV85" s="24">
        <f t="shared" si="71"/>
        <v>0</v>
      </c>
      <c r="DW85" s="24">
        <f t="shared" si="71"/>
        <v>0</v>
      </c>
      <c r="DX85" s="24">
        <f t="shared" si="71"/>
        <v>0</v>
      </c>
      <c r="DY85" s="24">
        <f t="shared" si="71"/>
        <v>1374389</v>
      </c>
      <c r="DZ85" s="24">
        <f t="shared" si="71"/>
        <v>0</v>
      </c>
      <c r="EA85" s="24">
        <f t="shared" si="71"/>
        <v>0</v>
      </c>
      <c r="EB85" s="24">
        <f t="shared" si="71"/>
        <v>8000000</v>
      </c>
      <c r="ED85" s="152"/>
      <c r="EE85" s="45">
        <f t="shared" si="32"/>
        <v>56200000</v>
      </c>
      <c r="EF85" s="45">
        <f t="shared" si="33"/>
        <v>46825611</v>
      </c>
      <c r="EG85" s="159">
        <f t="shared" si="34"/>
        <v>0.83319592526690389</v>
      </c>
    </row>
    <row r="86" spans="1:137" ht="20.25" hidden="1" customHeight="1" x14ac:dyDescent="0.25">
      <c r="A86" s="239"/>
      <c r="B86" s="231"/>
      <c r="C86" s="197" t="s">
        <v>257</v>
      </c>
      <c r="D86" s="190" t="s">
        <v>258</v>
      </c>
      <c r="E86" s="33">
        <v>301</v>
      </c>
      <c r="F86" s="188" t="s">
        <v>240</v>
      </c>
      <c r="G86" s="24">
        <f t="shared" si="66"/>
        <v>300000000</v>
      </c>
      <c r="H86" s="25">
        <f>+'[14]SB 2020 2024'!$F$27</f>
        <v>421000000</v>
      </c>
      <c r="I86" s="25">
        <f t="shared" si="72"/>
        <v>121000000</v>
      </c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>
        <v>300000000</v>
      </c>
      <c r="AD86" s="24"/>
      <c r="AE86" s="24"/>
      <c r="AF86" s="24"/>
      <c r="AG86" s="27">
        <f t="shared" si="58"/>
        <v>0.71</v>
      </c>
      <c r="AH86" s="24">
        <f t="shared" si="44"/>
        <v>213000000</v>
      </c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>
        <f>+[2]OCTUBRE!$AC$948</f>
        <v>213000000</v>
      </c>
      <c r="BC86" s="24"/>
      <c r="BD86" s="24"/>
      <c r="BE86" s="24"/>
      <c r="BF86" s="27">
        <f t="shared" si="60"/>
        <v>0.29000000000000004</v>
      </c>
      <c r="BG86" s="24">
        <f t="shared" si="67"/>
        <v>87000000</v>
      </c>
      <c r="BH86" s="24">
        <f t="shared" si="68"/>
        <v>0</v>
      </c>
      <c r="BI86" s="24">
        <f t="shared" si="68"/>
        <v>0</v>
      </c>
      <c r="BJ86" s="24">
        <f t="shared" si="68"/>
        <v>0</v>
      </c>
      <c r="BK86" s="24">
        <f t="shared" si="68"/>
        <v>0</v>
      </c>
      <c r="BL86" s="24">
        <f t="shared" si="68"/>
        <v>0</v>
      </c>
      <c r="BM86" s="24">
        <f t="shared" si="68"/>
        <v>0</v>
      </c>
      <c r="BN86" s="24">
        <f t="shared" si="68"/>
        <v>0</v>
      </c>
      <c r="BO86" s="24">
        <f t="shared" si="68"/>
        <v>0</v>
      </c>
      <c r="BP86" s="24">
        <f t="shared" si="68"/>
        <v>0</v>
      </c>
      <c r="BQ86" s="24">
        <f t="shared" si="68"/>
        <v>0</v>
      </c>
      <c r="BR86" s="24">
        <f t="shared" si="68"/>
        <v>0</v>
      </c>
      <c r="BS86" s="24">
        <f t="shared" si="68"/>
        <v>0</v>
      </c>
      <c r="BT86" s="24">
        <f t="shared" si="68"/>
        <v>0</v>
      </c>
      <c r="BU86" s="24">
        <f t="shared" si="68"/>
        <v>0</v>
      </c>
      <c r="BV86" s="24">
        <f t="shared" si="68"/>
        <v>0</v>
      </c>
      <c r="BW86" s="24">
        <f t="shared" si="68"/>
        <v>0</v>
      </c>
      <c r="BX86" s="24">
        <f t="shared" si="69"/>
        <v>0</v>
      </c>
      <c r="BY86" s="24">
        <f t="shared" si="69"/>
        <v>0</v>
      </c>
      <c r="BZ86" s="24">
        <f t="shared" si="69"/>
        <v>0</v>
      </c>
      <c r="CA86" s="24">
        <f t="shared" si="69"/>
        <v>87000000</v>
      </c>
      <c r="CB86" s="24">
        <f t="shared" si="69"/>
        <v>0</v>
      </c>
      <c r="CC86" s="24">
        <f t="shared" si="69"/>
        <v>0</v>
      </c>
      <c r="CD86" s="24">
        <f t="shared" si="69"/>
        <v>0</v>
      </c>
      <c r="CE86" s="27">
        <f t="shared" si="48"/>
        <v>0.71</v>
      </c>
      <c r="CF86" s="24">
        <f t="shared" si="73"/>
        <v>213000000</v>
      </c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>
        <f>+[2]OCTUBRE!$H$946</f>
        <v>213000000</v>
      </c>
      <c r="DA86" s="24"/>
      <c r="DB86" s="24"/>
      <c r="DC86" s="24"/>
      <c r="DD86" s="27">
        <f t="shared" si="59"/>
        <v>0.29000000000000004</v>
      </c>
      <c r="DE86" s="24">
        <f t="shared" si="50"/>
        <v>87000000</v>
      </c>
      <c r="DF86" s="24">
        <f t="shared" si="70"/>
        <v>0</v>
      </c>
      <c r="DG86" s="24">
        <f t="shared" si="70"/>
        <v>0</v>
      </c>
      <c r="DH86" s="24">
        <f t="shared" si="70"/>
        <v>0</v>
      </c>
      <c r="DI86" s="24">
        <f t="shared" si="70"/>
        <v>0</v>
      </c>
      <c r="DJ86" s="24">
        <f t="shared" si="70"/>
        <v>0</v>
      </c>
      <c r="DK86" s="24">
        <f t="shared" si="70"/>
        <v>0</v>
      </c>
      <c r="DL86" s="24">
        <f t="shared" si="70"/>
        <v>0</v>
      </c>
      <c r="DM86" s="24">
        <f t="shared" si="70"/>
        <v>0</v>
      </c>
      <c r="DN86" s="24">
        <f t="shared" si="70"/>
        <v>0</v>
      </c>
      <c r="DO86" s="24">
        <f t="shared" si="70"/>
        <v>0</v>
      </c>
      <c r="DP86" s="24">
        <f t="shared" si="70"/>
        <v>0</v>
      </c>
      <c r="DQ86" s="24">
        <f t="shared" si="70"/>
        <v>0</v>
      </c>
      <c r="DR86" s="24">
        <f t="shared" si="70"/>
        <v>0</v>
      </c>
      <c r="DS86" s="24">
        <f t="shared" si="70"/>
        <v>0</v>
      </c>
      <c r="DT86" s="24">
        <f t="shared" si="70"/>
        <v>0</v>
      </c>
      <c r="DU86" s="24">
        <f t="shared" si="70"/>
        <v>0</v>
      </c>
      <c r="DV86" s="24">
        <f t="shared" si="71"/>
        <v>0</v>
      </c>
      <c r="DW86" s="24">
        <f t="shared" si="71"/>
        <v>0</v>
      </c>
      <c r="DX86" s="24">
        <f t="shared" si="71"/>
        <v>0</v>
      </c>
      <c r="DY86" s="24">
        <f t="shared" si="71"/>
        <v>87000000</v>
      </c>
      <c r="DZ86" s="24">
        <f t="shared" si="71"/>
        <v>0</v>
      </c>
      <c r="EA86" s="24">
        <f t="shared" si="71"/>
        <v>0</v>
      </c>
      <c r="EB86" s="24">
        <f t="shared" si="71"/>
        <v>0</v>
      </c>
      <c r="ED86" s="152"/>
      <c r="EE86" s="45">
        <f t="shared" si="32"/>
        <v>300000000</v>
      </c>
      <c r="EF86" s="45">
        <f t="shared" si="33"/>
        <v>213000000</v>
      </c>
      <c r="EG86" s="159">
        <f t="shared" si="34"/>
        <v>0.71</v>
      </c>
    </row>
    <row r="87" spans="1:137" ht="39.75" hidden="1" customHeight="1" x14ac:dyDescent="0.25">
      <c r="A87" s="239"/>
      <c r="B87" s="229"/>
      <c r="C87" s="197" t="s">
        <v>259</v>
      </c>
      <c r="D87" s="190" t="s">
        <v>260</v>
      </c>
      <c r="E87" s="33">
        <v>301</v>
      </c>
      <c r="F87" s="188" t="s">
        <v>261</v>
      </c>
      <c r="G87" s="24">
        <f t="shared" si="66"/>
        <v>108000000</v>
      </c>
      <c r="H87" s="25">
        <f>+'[14]SB 2020 2024'!$F$28</f>
        <v>130000000</v>
      </c>
      <c r="I87" s="25">
        <f t="shared" si="72"/>
        <v>22000000</v>
      </c>
      <c r="J87" s="24">
        <v>100000000</v>
      </c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6">
        <f>8000000+5000000-3000000-2000000</f>
        <v>8000000</v>
      </c>
      <c r="AG87" s="27">
        <f t="shared" si="58"/>
        <v>0.94444444444444442</v>
      </c>
      <c r="AH87" s="24">
        <f t="shared" si="44"/>
        <v>102000000</v>
      </c>
      <c r="AI87" s="24">
        <f>+[2]OCTUBRE!$J$1010</f>
        <v>100000000</v>
      </c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>
        <f>+[2]OCTUBRE!$AG$1010</f>
        <v>2000000</v>
      </c>
      <c r="BF87" s="27">
        <f t="shared" si="60"/>
        <v>5.555555555555558E-2</v>
      </c>
      <c r="BG87" s="24">
        <f t="shared" si="67"/>
        <v>6000000</v>
      </c>
      <c r="BH87" s="24">
        <f t="shared" si="68"/>
        <v>0</v>
      </c>
      <c r="BI87" s="24">
        <f t="shared" si="68"/>
        <v>0</v>
      </c>
      <c r="BJ87" s="24">
        <f t="shared" si="68"/>
        <v>0</v>
      </c>
      <c r="BK87" s="24">
        <f t="shared" si="68"/>
        <v>0</v>
      </c>
      <c r="BL87" s="24">
        <f t="shared" si="68"/>
        <v>0</v>
      </c>
      <c r="BM87" s="24">
        <f t="shared" si="68"/>
        <v>0</v>
      </c>
      <c r="BN87" s="24">
        <f t="shared" si="68"/>
        <v>0</v>
      </c>
      <c r="BO87" s="24">
        <f t="shared" si="68"/>
        <v>0</v>
      </c>
      <c r="BP87" s="24">
        <f t="shared" si="68"/>
        <v>0</v>
      </c>
      <c r="BQ87" s="24">
        <f t="shared" si="68"/>
        <v>0</v>
      </c>
      <c r="BR87" s="24">
        <f t="shared" si="68"/>
        <v>0</v>
      </c>
      <c r="BS87" s="24">
        <f t="shared" si="68"/>
        <v>0</v>
      </c>
      <c r="BT87" s="24">
        <f t="shared" si="68"/>
        <v>0</v>
      </c>
      <c r="BU87" s="24">
        <f t="shared" si="68"/>
        <v>0</v>
      </c>
      <c r="BV87" s="24">
        <f t="shared" si="68"/>
        <v>0</v>
      </c>
      <c r="BW87" s="24">
        <f t="shared" si="68"/>
        <v>0</v>
      </c>
      <c r="BX87" s="24">
        <f t="shared" si="69"/>
        <v>0</v>
      </c>
      <c r="BY87" s="24">
        <f t="shared" si="69"/>
        <v>0</v>
      </c>
      <c r="BZ87" s="24">
        <f t="shared" si="69"/>
        <v>0</v>
      </c>
      <c r="CA87" s="24">
        <f t="shared" si="69"/>
        <v>0</v>
      </c>
      <c r="CB87" s="24">
        <f t="shared" si="69"/>
        <v>0</v>
      </c>
      <c r="CC87" s="24">
        <f t="shared" si="69"/>
        <v>0</v>
      </c>
      <c r="CD87" s="24">
        <f t="shared" si="69"/>
        <v>6000000</v>
      </c>
      <c r="CE87" s="27">
        <f t="shared" si="48"/>
        <v>1.8518518518518517E-2</v>
      </c>
      <c r="CF87" s="24">
        <f t="shared" si="73"/>
        <v>2000000</v>
      </c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>
        <f>+'[5]FEBRERO 2020'!$H$815</f>
        <v>2000000</v>
      </c>
      <c r="DD87" s="27">
        <f t="shared" si="59"/>
        <v>0.98148148148148151</v>
      </c>
      <c r="DE87" s="24">
        <f t="shared" si="50"/>
        <v>106000000</v>
      </c>
      <c r="DF87" s="24">
        <f t="shared" si="70"/>
        <v>100000000</v>
      </c>
      <c r="DG87" s="24">
        <f t="shared" si="70"/>
        <v>0</v>
      </c>
      <c r="DH87" s="24">
        <f t="shared" si="70"/>
        <v>0</v>
      </c>
      <c r="DI87" s="24">
        <f t="shared" si="70"/>
        <v>0</v>
      </c>
      <c r="DJ87" s="24">
        <f t="shared" si="70"/>
        <v>0</v>
      </c>
      <c r="DK87" s="24">
        <f t="shared" si="70"/>
        <v>0</v>
      </c>
      <c r="DL87" s="24">
        <f t="shared" si="70"/>
        <v>0</v>
      </c>
      <c r="DM87" s="24">
        <f t="shared" si="70"/>
        <v>0</v>
      </c>
      <c r="DN87" s="24">
        <f t="shared" si="70"/>
        <v>0</v>
      </c>
      <c r="DO87" s="24">
        <f t="shared" si="70"/>
        <v>0</v>
      </c>
      <c r="DP87" s="24">
        <f t="shared" si="70"/>
        <v>0</v>
      </c>
      <c r="DQ87" s="24">
        <f t="shared" si="70"/>
        <v>0</v>
      </c>
      <c r="DR87" s="24">
        <f t="shared" si="70"/>
        <v>0</v>
      </c>
      <c r="DS87" s="24">
        <f t="shared" si="70"/>
        <v>0</v>
      </c>
      <c r="DT87" s="24">
        <f t="shared" si="70"/>
        <v>0</v>
      </c>
      <c r="DU87" s="24">
        <f t="shared" si="70"/>
        <v>0</v>
      </c>
      <c r="DV87" s="24">
        <f t="shared" si="71"/>
        <v>0</v>
      </c>
      <c r="DW87" s="24">
        <f t="shared" si="71"/>
        <v>0</v>
      </c>
      <c r="DX87" s="24">
        <f t="shared" si="71"/>
        <v>0</v>
      </c>
      <c r="DY87" s="24">
        <f t="shared" si="71"/>
        <v>0</v>
      </c>
      <c r="DZ87" s="24">
        <f t="shared" si="71"/>
        <v>0</v>
      </c>
      <c r="EA87" s="24">
        <f t="shared" si="71"/>
        <v>0</v>
      </c>
      <c r="EB87" s="24">
        <f t="shared" si="71"/>
        <v>6000000</v>
      </c>
      <c r="ED87" s="150"/>
      <c r="EE87" s="45">
        <f t="shared" si="32"/>
        <v>108000000</v>
      </c>
      <c r="EF87" s="45">
        <f t="shared" si="33"/>
        <v>2000000</v>
      </c>
      <c r="EG87" s="159">
        <f t="shared" si="34"/>
        <v>1.8518518518518517E-2</v>
      </c>
    </row>
    <row r="88" spans="1:137" s="44" customFormat="1" ht="19.149999999999999" hidden="1" customHeight="1" x14ac:dyDescent="0.25">
      <c r="A88" s="239"/>
      <c r="B88" s="228" t="s">
        <v>262</v>
      </c>
      <c r="C88" s="191" t="s">
        <v>263</v>
      </c>
      <c r="D88" s="190" t="s">
        <v>264</v>
      </c>
      <c r="E88" s="190">
        <v>301</v>
      </c>
      <c r="F88" s="192" t="s">
        <v>240</v>
      </c>
      <c r="G88" s="24">
        <f t="shared" si="66"/>
        <v>126665755</v>
      </c>
      <c r="H88" s="71">
        <f>+'[14]SB 2020 2024'!$F35</f>
        <v>205624500</v>
      </c>
      <c r="I88" s="71">
        <f t="shared" si="72"/>
        <v>78958745</v>
      </c>
      <c r="J88" s="7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>
        <v>101873500</v>
      </c>
      <c r="AA88" s="24"/>
      <c r="AB88" s="24"/>
      <c r="AC88" s="74">
        <v>24792255</v>
      </c>
      <c r="AD88" s="24"/>
      <c r="AE88" s="24"/>
      <c r="AF88" s="26">
        <v>0</v>
      </c>
      <c r="AG88" s="27">
        <f t="shared" si="58"/>
        <v>0.98319128165304037</v>
      </c>
      <c r="AH88" s="24">
        <f t="shared" si="44"/>
        <v>124536666</v>
      </c>
      <c r="AI88" s="24"/>
      <c r="AJ88" s="24"/>
      <c r="AK88" s="24"/>
      <c r="AL88" s="24"/>
      <c r="AM88" s="24"/>
      <c r="AN88" s="24"/>
      <c r="AO88" s="24"/>
      <c r="AP88" s="24"/>
      <c r="AQ88" s="24"/>
      <c r="AR88" s="24"/>
      <c r="AS88" s="24"/>
      <c r="AT88" s="24"/>
      <c r="AU88" s="24"/>
      <c r="AV88" s="24"/>
      <c r="AW88" s="24"/>
      <c r="AX88" s="24"/>
      <c r="AY88" s="24">
        <f>+[4]JULIO!$Z$827</f>
        <v>101873500</v>
      </c>
      <c r="AZ88" s="24"/>
      <c r="BA88" s="24"/>
      <c r="BB88" s="24">
        <f>+[3]SEPTIEMBRE!$AC$972</f>
        <v>22663166</v>
      </c>
      <c r="BC88" s="24"/>
      <c r="BD88" s="24"/>
      <c r="BE88" s="24"/>
      <c r="BF88" s="72">
        <f t="shared" si="60"/>
        <v>1.6808718346959628E-2</v>
      </c>
      <c r="BG88" s="24">
        <f t="shared" si="67"/>
        <v>2129089</v>
      </c>
      <c r="BH88" s="24">
        <f t="shared" si="68"/>
        <v>0</v>
      </c>
      <c r="BI88" s="24">
        <f t="shared" si="68"/>
        <v>0</v>
      </c>
      <c r="BJ88" s="24">
        <f t="shared" si="68"/>
        <v>0</v>
      </c>
      <c r="BK88" s="24">
        <f t="shared" si="68"/>
        <v>0</v>
      </c>
      <c r="BL88" s="24">
        <f t="shared" si="68"/>
        <v>0</v>
      </c>
      <c r="BM88" s="24">
        <f t="shared" si="68"/>
        <v>0</v>
      </c>
      <c r="BN88" s="24">
        <f t="shared" si="68"/>
        <v>0</v>
      </c>
      <c r="BO88" s="24">
        <f t="shared" si="68"/>
        <v>0</v>
      </c>
      <c r="BP88" s="24">
        <f t="shared" si="68"/>
        <v>0</v>
      </c>
      <c r="BQ88" s="24">
        <f t="shared" si="68"/>
        <v>0</v>
      </c>
      <c r="BR88" s="24">
        <f t="shared" si="68"/>
        <v>0</v>
      </c>
      <c r="BS88" s="24">
        <f t="shared" si="68"/>
        <v>0</v>
      </c>
      <c r="BT88" s="24">
        <f t="shared" si="68"/>
        <v>0</v>
      </c>
      <c r="BU88" s="24">
        <f t="shared" si="68"/>
        <v>0</v>
      </c>
      <c r="BV88" s="24">
        <f t="shared" si="68"/>
        <v>0</v>
      </c>
      <c r="BW88" s="24">
        <f t="shared" si="68"/>
        <v>0</v>
      </c>
      <c r="BX88" s="24">
        <f t="shared" si="69"/>
        <v>0</v>
      </c>
      <c r="BY88" s="24">
        <f t="shared" si="69"/>
        <v>0</v>
      </c>
      <c r="BZ88" s="24">
        <f t="shared" si="69"/>
        <v>0</v>
      </c>
      <c r="CA88" s="24">
        <f t="shared" si="69"/>
        <v>2129089</v>
      </c>
      <c r="CB88" s="24">
        <f t="shared" si="69"/>
        <v>0</v>
      </c>
      <c r="CC88" s="24">
        <f t="shared" si="69"/>
        <v>0</v>
      </c>
      <c r="CD88" s="24">
        <f t="shared" si="69"/>
        <v>0</v>
      </c>
      <c r="CE88" s="27">
        <f t="shared" si="48"/>
        <v>0.98319128165304037</v>
      </c>
      <c r="CF88" s="24">
        <f t="shared" si="73"/>
        <v>124536666</v>
      </c>
      <c r="CG88" s="24"/>
      <c r="CH88" s="24"/>
      <c r="CI88" s="24"/>
      <c r="CJ88" s="24"/>
      <c r="CK88" s="24"/>
      <c r="CL88" s="24"/>
      <c r="CM88" s="24"/>
      <c r="CN88" s="24"/>
      <c r="CO88" s="24"/>
      <c r="CP88" s="24"/>
      <c r="CQ88" s="24"/>
      <c r="CR88" s="24"/>
      <c r="CS88" s="24"/>
      <c r="CT88" s="24"/>
      <c r="CU88" s="24"/>
      <c r="CV88" s="24"/>
      <c r="CW88" s="24">
        <f>+[4]JULIO!$H$828</f>
        <v>101873500</v>
      </c>
      <c r="CX88" s="24"/>
      <c r="CY88" s="24"/>
      <c r="CZ88" s="24">
        <f>+[4]JULIO!$H$841</f>
        <v>22663166</v>
      </c>
      <c r="DA88" s="24"/>
      <c r="DB88" s="24"/>
      <c r="DC88" s="24"/>
      <c r="DD88" s="72">
        <f t="shared" si="59"/>
        <v>1.6808718346959628E-2</v>
      </c>
      <c r="DE88" s="24">
        <f t="shared" si="50"/>
        <v>2129089</v>
      </c>
      <c r="DF88" s="24">
        <f t="shared" si="70"/>
        <v>0</v>
      </c>
      <c r="DG88" s="24">
        <f t="shared" si="70"/>
        <v>0</v>
      </c>
      <c r="DH88" s="24">
        <f t="shared" si="70"/>
        <v>0</v>
      </c>
      <c r="DI88" s="24">
        <f t="shared" si="70"/>
        <v>0</v>
      </c>
      <c r="DJ88" s="24">
        <f t="shared" si="70"/>
        <v>0</v>
      </c>
      <c r="DK88" s="24">
        <f t="shared" si="70"/>
        <v>0</v>
      </c>
      <c r="DL88" s="24">
        <f t="shared" si="70"/>
        <v>0</v>
      </c>
      <c r="DM88" s="24">
        <f t="shared" si="70"/>
        <v>0</v>
      </c>
      <c r="DN88" s="24">
        <f t="shared" si="70"/>
        <v>0</v>
      </c>
      <c r="DO88" s="24">
        <f t="shared" si="70"/>
        <v>0</v>
      </c>
      <c r="DP88" s="24">
        <f t="shared" si="70"/>
        <v>0</v>
      </c>
      <c r="DQ88" s="24">
        <f t="shared" si="70"/>
        <v>0</v>
      </c>
      <c r="DR88" s="24">
        <f t="shared" si="70"/>
        <v>0</v>
      </c>
      <c r="DS88" s="24">
        <f t="shared" si="70"/>
        <v>0</v>
      </c>
      <c r="DT88" s="24">
        <f t="shared" si="70"/>
        <v>0</v>
      </c>
      <c r="DU88" s="24">
        <f t="shared" si="70"/>
        <v>0</v>
      </c>
      <c r="DV88" s="24">
        <f t="shared" si="71"/>
        <v>0</v>
      </c>
      <c r="DW88" s="24">
        <f t="shared" si="71"/>
        <v>0</v>
      </c>
      <c r="DX88" s="24">
        <f t="shared" si="71"/>
        <v>0</v>
      </c>
      <c r="DY88" s="24">
        <f t="shared" si="71"/>
        <v>2129089</v>
      </c>
      <c r="DZ88" s="24">
        <f t="shared" si="71"/>
        <v>0</v>
      </c>
      <c r="EA88" s="24">
        <f t="shared" si="71"/>
        <v>0</v>
      </c>
      <c r="EB88" s="24">
        <f t="shared" si="71"/>
        <v>0</v>
      </c>
      <c r="ED88" s="150"/>
      <c r="EE88" s="45">
        <f t="shared" si="32"/>
        <v>126665755</v>
      </c>
      <c r="EF88" s="45">
        <f t="shared" si="33"/>
        <v>124536666</v>
      </c>
      <c r="EG88" s="159">
        <f t="shared" si="34"/>
        <v>0.98319128165304037</v>
      </c>
    </row>
    <row r="89" spans="1:137" ht="51" hidden="1" customHeight="1" x14ac:dyDescent="0.25">
      <c r="A89" s="239"/>
      <c r="B89" s="229"/>
      <c r="C89" s="191" t="s">
        <v>265</v>
      </c>
      <c r="D89" s="33" t="s">
        <v>266</v>
      </c>
      <c r="E89" s="33">
        <v>301</v>
      </c>
      <c r="F89" s="188" t="s">
        <v>267</v>
      </c>
      <c r="G89" s="24">
        <f t="shared" si="66"/>
        <v>359614425</v>
      </c>
      <c r="H89" s="25">
        <f>+'[14]SB 2020 2024'!$F$37</f>
        <v>411249000</v>
      </c>
      <c r="I89" s="25">
        <f t="shared" si="72"/>
        <v>51634575</v>
      </c>
      <c r="J89" s="24">
        <v>23731165</v>
      </c>
      <c r="K89" s="24"/>
      <c r="L89" s="24">
        <v>29883260</v>
      </c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>
        <v>300000000</v>
      </c>
      <c r="AA89" s="24"/>
      <c r="AB89" s="24"/>
      <c r="AC89" s="24"/>
      <c r="AD89" s="24"/>
      <c r="AE89" s="24"/>
      <c r="AF89" s="26">
        <f>7000000+3000000+5000000-5000000-4000000</f>
        <v>6000000</v>
      </c>
      <c r="AG89" s="27">
        <f t="shared" si="58"/>
        <v>0.86922969511025594</v>
      </c>
      <c r="AH89" s="24">
        <f t="shared" si="44"/>
        <v>312587537</v>
      </c>
      <c r="AI89" s="24">
        <f>+[3]SEPTIEMBRE!$J$994</f>
        <v>23731165</v>
      </c>
      <c r="AJ89" s="24"/>
      <c r="AK89" s="24">
        <f>+[3]SEPTIEMBRE!$N$994</f>
        <v>24243035</v>
      </c>
      <c r="AL89" s="24"/>
      <c r="AM89" s="24"/>
      <c r="AN89" s="24"/>
      <c r="AO89" s="24"/>
      <c r="AP89" s="24"/>
      <c r="AQ89" s="24"/>
      <c r="AR89" s="24"/>
      <c r="AS89" s="24"/>
      <c r="AT89" s="24"/>
      <c r="AU89" s="24"/>
      <c r="AV89" s="24"/>
      <c r="AW89" s="24"/>
      <c r="AX89" s="24"/>
      <c r="AY89" s="24">
        <f>+[3]SEPTIEMBRE!$Z$994</f>
        <v>264613337</v>
      </c>
      <c r="AZ89" s="24"/>
      <c r="BA89" s="24"/>
      <c r="BB89" s="24"/>
      <c r="BC89" s="24"/>
      <c r="BD89" s="24"/>
      <c r="BE89" s="24"/>
      <c r="BF89" s="27">
        <f t="shared" si="60"/>
        <v>0.13077030488974406</v>
      </c>
      <c r="BG89" s="24">
        <f t="shared" si="67"/>
        <v>47026888</v>
      </c>
      <c r="BH89" s="24">
        <f t="shared" si="68"/>
        <v>0</v>
      </c>
      <c r="BI89" s="24">
        <f t="shared" si="68"/>
        <v>0</v>
      </c>
      <c r="BJ89" s="24">
        <f t="shared" si="68"/>
        <v>5640225</v>
      </c>
      <c r="BK89" s="24">
        <f t="shared" si="68"/>
        <v>0</v>
      </c>
      <c r="BL89" s="24">
        <f t="shared" si="68"/>
        <v>0</v>
      </c>
      <c r="BM89" s="24">
        <f t="shared" si="68"/>
        <v>0</v>
      </c>
      <c r="BN89" s="24">
        <f t="shared" si="68"/>
        <v>0</v>
      </c>
      <c r="BO89" s="24">
        <f t="shared" si="68"/>
        <v>0</v>
      </c>
      <c r="BP89" s="24">
        <f t="shared" si="68"/>
        <v>0</v>
      </c>
      <c r="BQ89" s="24">
        <f t="shared" si="68"/>
        <v>0</v>
      </c>
      <c r="BR89" s="24">
        <f t="shared" si="68"/>
        <v>0</v>
      </c>
      <c r="BS89" s="24">
        <f t="shared" si="68"/>
        <v>0</v>
      </c>
      <c r="BT89" s="24">
        <f t="shared" si="68"/>
        <v>0</v>
      </c>
      <c r="BU89" s="24">
        <f t="shared" si="68"/>
        <v>0</v>
      </c>
      <c r="BV89" s="24">
        <f t="shared" si="68"/>
        <v>0</v>
      </c>
      <c r="BW89" s="24">
        <f t="shared" si="68"/>
        <v>0</v>
      </c>
      <c r="BX89" s="24">
        <f t="shared" si="69"/>
        <v>35386663</v>
      </c>
      <c r="BY89" s="24">
        <f t="shared" si="69"/>
        <v>0</v>
      </c>
      <c r="BZ89" s="24">
        <f t="shared" si="69"/>
        <v>0</v>
      </c>
      <c r="CA89" s="24">
        <f t="shared" si="69"/>
        <v>0</v>
      </c>
      <c r="CB89" s="24">
        <f t="shared" si="69"/>
        <v>0</v>
      </c>
      <c r="CC89" s="24">
        <f t="shared" si="69"/>
        <v>0</v>
      </c>
      <c r="CD89" s="24">
        <f t="shared" si="69"/>
        <v>6000000</v>
      </c>
      <c r="CE89" s="27">
        <f t="shared" si="48"/>
        <v>0.47380376635336585</v>
      </c>
      <c r="CF89" s="24">
        <f t="shared" si="73"/>
        <v>170386669</v>
      </c>
      <c r="CG89" s="24"/>
      <c r="CH89" s="24"/>
      <c r="CI89" s="24"/>
      <c r="CJ89" s="24"/>
      <c r="CK89" s="24"/>
      <c r="CL89" s="24"/>
      <c r="CM89" s="24"/>
      <c r="CN89" s="24"/>
      <c r="CO89" s="24"/>
      <c r="CP89" s="24"/>
      <c r="CQ89" s="24"/>
      <c r="CR89" s="24"/>
      <c r="CS89" s="24"/>
      <c r="CT89" s="24"/>
      <c r="CU89" s="24"/>
      <c r="CV89" s="24"/>
      <c r="CW89" s="24">
        <f>+[4]JULIO!$H$847</f>
        <v>170386669</v>
      </c>
      <c r="CX89" s="24"/>
      <c r="CY89" s="24"/>
      <c r="CZ89" s="24"/>
      <c r="DA89" s="24"/>
      <c r="DB89" s="24"/>
      <c r="DC89" s="24"/>
      <c r="DD89" s="27">
        <f t="shared" si="59"/>
        <v>0.52619623364663415</v>
      </c>
      <c r="DE89" s="24">
        <f t="shared" si="50"/>
        <v>189227756</v>
      </c>
      <c r="DF89" s="24">
        <f t="shared" si="70"/>
        <v>23731165</v>
      </c>
      <c r="DG89" s="24">
        <f t="shared" si="70"/>
        <v>0</v>
      </c>
      <c r="DH89" s="24">
        <f t="shared" si="70"/>
        <v>29883260</v>
      </c>
      <c r="DI89" s="24">
        <f t="shared" si="70"/>
        <v>0</v>
      </c>
      <c r="DJ89" s="24">
        <f t="shared" si="70"/>
        <v>0</v>
      </c>
      <c r="DK89" s="24">
        <f t="shared" si="70"/>
        <v>0</v>
      </c>
      <c r="DL89" s="24">
        <f t="shared" si="70"/>
        <v>0</v>
      </c>
      <c r="DM89" s="24">
        <f t="shared" si="70"/>
        <v>0</v>
      </c>
      <c r="DN89" s="24">
        <f t="shared" si="70"/>
        <v>0</v>
      </c>
      <c r="DO89" s="24">
        <f t="shared" si="70"/>
        <v>0</v>
      </c>
      <c r="DP89" s="24">
        <f t="shared" si="70"/>
        <v>0</v>
      </c>
      <c r="DQ89" s="24">
        <f t="shared" si="70"/>
        <v>0</v>
      </c>
      <c r="DR89" s="24">
        <f t="shared" si="70"/>
        <v>0</v>
      </c>
      <c r="DS89" s="24">
        <f t="shared" si="70"/>
        <v>0</v>
      </c>
      <c r="DT89" s="24">
        <f t="shared" si="70"/>
        <v>0</v>
      </c>
      <c r="DU89" s="24">
        <f t="shared" si="70"/>
        <v>0</v>
      </c>
      <c r="DV89" s="24">
        <f t="shared" si="71"/>
        <v>129613331</v>
      </c>
      <c r="DW89" s="24">
        <f t="shared" si="71"/>
        <v>0</v>
      </c>
      <c r="DX89" s="24">
        <f t="shared" si="71"/>
        <v>0</v>
      </c>
      <c r="DY89" s="24">
        <f t="shared" si="71"/>
        <v>0</v>
      </c>
      <c r="DZ89" s="24">
        <f t="shared" si="71"/>
        <v>0</v>
      </c>
      <c r="EA89" s="24">
        <f t="shared" si="71"/>
        <v>0</v>
      </c>
      <c r="EB89" s="24">
        <f t="shared" si="71"/>
        <v>6000000</v>
      </c>
      <c r="ED89" s="151" t="s">
        <v>383</v>
      </c>
      <c r="EE89" s="45">
        <f t="shared" ref="EE89:EE129" si="74">+G89</f>
        <v>359614425</v>
      </c>
      <c r="EF89" s="45">
        <f t="shared" ref="EF89:EF129" si="75">+CF89</f>
        <v>170386669</v>
      </c>
      <c r="EG89" s="159">
        <f t="shared" ref="EG89:EG131" si="76">+CE89</f>
        <v>0.47380376635336585</v>
      </c>
    </row>
    <row r="90" spans="1:137" ht="71.45" hidden="1" customHeight="1" x14ac:dyDescent="0.25">
      <c r="A90" s="239"/>
      <c r="B90" s="228" t="s">
        <v>268</v>
      </c>
      <c r="C90" s="191" t="s">
        <v>269</v>
      </c>
      <c r="D90" s="190" t="s">
        <v>270</v>
      </c>
      <c r="E90" s="33">
        <v>301</v>
      </c>
      <c r="F90" s="188" t="s">
        <v>271</v>
      </c>
      <c r="G90" s="24">
        <f t="shared" si="66"/>
        <v>69519636</v>
      </c>
      <c r="H90" s="25">
        <f>+'[14]SB 2020 2024'!$F43</f>
        <v>70000000</v>
      </c>
      <c r="I90" s="25">
        <f t="shared" si="72"/>
        <v>480364</v>
      </c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  <c r="AA90" s="24"/>
      <c r="AB90" s="24"/>
      <c r="AC90" s="24">
        <v>898810</v>
      </c>
      <c r="AD90" s="24"/>
      <c r="AE90" s="24"/>
      <c r="AF90" s="24">
        <f>4000000+25000000+26000000+9101190+5000000-5000000+16019636-11500000</f>
        <v>68620826</v>
      </c>
      <c r="AG90" s="27">
        <f t="shared" si="58"/>
        <v>0.51743792214332074</v>
      </c>
      <c r="AH90" s="24">
        <f t="shared" si="44"/>
        <v>35972096</v>
      </c>
      <c r="AI90" s="24"/>
      <c r="AJ90" s="24"/>
      <c r="AK90" s="24"/>
      <c r="AL90" s="24"/>
      <c r="AM90" s="24"/>
      <c r="AN90" s="24"/>
      <c r="AO90" s="24"/>
      <c r="AP90" s="24"/>
      <c r="AQ90" s="24"/>
      <c r="AR90" s="24"/>
      <c r="AS90" s="24"/>
      <c r="AT90" s="24"/>
      <c r="AU90" s="24"/>
      <c r="AV90" s="24"/>
      <c r="AW90" s="24"/>
      <c r="AX90" s="24"/>
      <c r="AY90" s="24"/>
      <c r="AZ90" s="24"/>
      <c r="BA90" s="24"/>
      <c r="BB90" s="24">
        <f>+[2]OCTUBRE!$AC$1112</f>
        <v>896896</v>
      </c>
      <c r="BC90" s="24"/>
      <c r="BD90" s="24"/>
      <c r="BE90" s="24">
        <f>+[2]OCTUBRE!$AG$1112</f>
        <v>35075200</v>
      </c>
      <c r="BF90" s="27">
        <f t="shared" si="60"/>
        <v>0.48256207785667926</v>
      </c>
      <c r="BG90" s="24">
        <f t="shared" si="67"/>
        <v>33547540</v>
      </c>
      <c r="BH90" s="24">
        <f t="shared" si="68"/>
        <v>0</v>
      </c>
      <c r="BI90" s="24">
        <f t="shared" si="68"/>
        <v>0</v>
      </c>
      <c r="BJ90" s="24">
        <f t="shared" si="68"/>
        <v>0</v>
      </c>
      <c r="BK90" s="24">
        <f t="shared" si="68"/>
        <v>0</v>
      </c>
      <c r="BL90" s="24">
        <f t="shared" si="68"/>
        <v>0</v>
      </c>
      <c r="BM90" s="24">
        <f t="shared" si="68"/>
        <v>0</v>
      </c>
      <c r="BN90" s="24">
        <f t="shared" si="68"/>
        <v>0</v>
      </c>
      <c r="BO90" s="24">
        <f t="shared" si="68"/>
        <v>0</v>
      </c>
      <c r="BP90" s="24">
        <f t="shared" si="68"/>
        <v>0</v>
      </c>
      <c r="BQ90" s="24">
        <f t="shared" si="68"/>
        <v>0</v>
      </c>
      <c r="BR90" s="24">
        <f t="shared" si="68"/>
        <v>0</v>
      </c>
      <c r="BS90" s="24">
        <f t="shared" si="68"/>
        <v>0</v>
      </c>
      <c r="BT90" s="24">
        <f t="shared" si="68"/>
        <v>0</v>
      </c>
      <c r="BU90" s="24">
        <f t="shared" si="68"/>
        <v>0</v>
      </c>
      <c r="BV90" s="24">
        <f t="shared" si="68"/>
        <v>0</v>
      </c>
      <c r="BW90" s="24">
        <f t="shared" si="68"/>
        <v>0</v>
      </c>
      <c r="BX90" s="24">
        <f t="shared" si="69"/>
        <v>0</v>
      </c>
      <c r="BY90" s="24">
        <f t="shared" si="69"/>
        <v>0</v>
      </c>
      <c r="BZ90" s="24">
        <f t="shared" si="69"/>
        <v>0</v>
      </c>
      <c r="CA90" s="24">
        <f t="shared" si="69"/>
        <v>1914</v>
      </c>
      <c r="CB90" s="24">
        <f t="shared" si="69"/>
        <v>0</v>
      </c>
      <c r="CC90" s="24">
        <f t="shared" si="69"/>
        <v>0</v>
      </c>
      <c r="CD90" s="24">
        <f t="shared" si="69"/>
        <v>33545626</v>
      </c>
      <c r="CE90" s="27">
        <f t="shared" si="48"/>
        <v>0.3606923373419274</v>
      </c>
      <c r="CF90" s="24">
        <f t="shared" si="73"/>
        <v>25075200</v>
      </c>
      <c r="CG90" s="24"/>
      <c r="CH90" s="24"/>
      <c r="CI90" s="24"/>
      <c r="CJ90" s="24"/>
      <c r="CK90" s="24"/>
      <c r="CL90" s="24"/>
      <c r="CM90" s="24"/>
      <c r="CN90" s="24"/>
      <c r="CO90" s="24"/>
      <c r="CP90" s="24"/>
      <c r="CQ90" s="24"/>
      <c r="CR90" s="24"/>
      <c r="CS90" s="24"/>
      <c r="CT90" s="24"/>
      <c r="CU90" s="24"/>
      <c r="CV90" s="24"/>
      <c r="CW90" s="24"/>
      <c r="CX90" s="24"/>
      <c r="CY90" s="24"/>
      <c r="CZ90" s="24"/>
      <c r="DA90" s="24"/>
      <c r="DB90" s="24"/>
      <c r="DC90" s="24">
        <f>+'[5]FEBRERO 2020'!$H$1029</f>
        <v>25075200</v>
      </c>
      <c r="DD90" s="27">
        <f t="shared" si="59"/>
        <v>0.6393076626580726</v>
      </c>
      <c r="DE90" s="24">
        <f t="shared" si="50"/>
        <v>44444436</v>
      </c>
      <c r="DF90" s="24">
        <f t="shared" si="70"/>
        <v>0</v>
      </c>
      <c r="DG90" s="24">
        <f t="shared" si="70"/>
        <v>0</v>
      </c>
      <c r="DH90" s="24">
        <f t="shared" si="70"/>
        <v>0</v>
      </c>
      <c r="DI90" s="24">
        <f t="shared" si="70"/>
        <v>0</v>
      </c>
      <c r="DJ90" s="24">
        <f t="shared" si="70"/>
        <v>0</v>
      </c>
      <c r="DK90" s="24">
        <f t="shared" si="70"/>
        <v>0</v>
      </c>
      <c r="DL90" s="24">
        <f t="shared" si="70"/>
        <v>0</v>
      </c>
      <c r="DM90" s="24">
        <f t="shared" si="70"/>
        <v>0</v>
      </c>
      <c r="DN90" s="24">
        <f t="shared" si="70"/>
        <v>0</v>
      </c>
      <c r="DO90" s="24">
        <f t="shared" si="70"/>
        <v>0</v>
      </c>
      <c r="DP90" s="24">
        <f t="shared" si="70"/>
        <v>0</v>
      </c>
      <c r="DQ90" s="24">
        <f t="shared" si="70"/>
        <v>0</v>
      </c>
      <c r="DR90" s="24">
        <f t="shared" si="70"/>
        <v>0</v>
      </c>
      <c r="DS90" s="24">
        <f t="shared" si="70"/>
        <v>0</v>
      </c>
      <c r="DT90" s="24">
        <f t="shared" si="70"/>
        <v>0</v>
      </c>
      <c r="DU90" s="24">
        <f t="shared" si="70"/>
        <v>0</v>
      </c>
      <c r="DV90" s="24">
        <f t="shared" si="71"/>
        <v>0</v>
      </c>
      <c r="DW90" s="24">
        <f t="shared" si="71"/>
        <v>0</v>
      </c>
      <c r="DX90" s="24">
        <f t="shared" si="71"/>
        <v>0</v>
      </c>
      <c r="DY90" s="24">
        <f t="shared" si="71"/>
        <v>898810</v>
      </c>
      <c r="DZ90" s="24">
        <f t="shared" si="71"/>
        <v>0</v>
      </c>
      <c r="EA90" s="24">
        <f t="shared" si="71"/>
        <v>0</v>
      </c>
      <c r="EB90" s="24">
        <f t="shared" si="71"/>
        <v>43545626</v>
      </c>
      <c r="ED90" s="153"/>
      <c r="EE90" s="45">
        <f t="shared" si="74"/>
        <v>69519636</v>
      </c>
      <c r="EF90" s="45">
        <f t="shared" si="75"/>
        <v>25075200</v>
      </c>
      <c r="EG90" s="159">
        <f t="shared" si="76"/>
        <v>0.3606923373419274</v>
      </c>
    </row>
    <row r="91" spans="1:137" ht="21" hidden="1" customHeight="1" x14ac:dyDescent="0.25">
      <c r="A91" s="239"/>
      <c r="B91" s="231"/>
      <c r="C91" s="191" t="s">
        <v>272</v>
      </c>
      <c r="D91" s="190" t="s">
        <v>273</v>
      </c>
      <c r="E91" s="33">
        <v>301</v>
      </c>
      <c r="F91" s="188" t="s">
        <v>240</v>
      </c>
      <c r="G91" s="24">
        <f t="shared" si="66"/>
        <v>95999999</v>
      </c>
      <c r="H91" s="25">
        <f>+'[14]SB 2020 2024'!$F45</f>
        <v>96000000</v>
      </c>
      <c r="I91" s="25">
        <f t="shared" si="72"/>
        <v>1</v>
      </c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>
        <f>56000000+39999999</f>
        <v>95999999</v>
      </c>
      <c r="AD91" s="24"/>
      <c r="AE91" s="24"/>
      <c r="AF91" s="24">
        <v>0</v>
      </c>
      <c r="AG91" s="27">
        <f t="shared" si="58"/>
        <v>0.65625000683593759</v>
      </c>
      <c r="AH91" s="24">
        <f t="shared" si="44"/>
        <v>63000000</v>
      </c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>
        <f>+[4]JULIO!$AC$915</f>
        <v>63000000</v>
      </c>
      <c r="BC91" s="24"/>
      <c r="BD91" s="24"/>
      <c r="BE91" s="24"/>
      <c r="BF91" s="27">
        <f t="shared" si="60"/>
        <v>0.34374999316406241</v>
      </c>
      <c r="BG91" s="24">
        <f t="shared" si="67"/>
        <v>32999999</v>
      </c>
      <c r="BH91" s="24">
        <f t="shared" si="68"/>
        <v>0</v>
      </c>
      <c r="BI91" s="24">
        <f t="shared" si="68"/>
        <v>0</v>
      </c>
      <c r="BJ91" s="24">
        <f t="shared" si="68"/>
        <v>0</v>
      </c>
      <c r="BK91" s="24">
        <f t="shared" si="68"/>
        <v>0</v>
      </c>
      <c r="BL91" s="24">
        <f t="shared" si="68"/>
        <v>0</v>
      </c>
      <c r="BM91" s="24">
        <f t="shared" si="68"/>
        <v>0</v>
      </c>
      <c r="BN91" s="24">
        <f t="shared" si="68"/>
        <v>0</v>
      </c>
      <c r="BO91" s="24">
        <f t="shared" si="68"/>
        <v>0</v>
      </c>
      <c r="BP91" s="24">
        <f t="shared" si="68"/>
        <v>0</v>
      </c>
      <c r="BQ91" s="24">
        <f t="shared" si="68"/>
        <v>0</v>
      </c>
      <c r="BR91" s="24">
        <f t="shared" si="68"/>
        <v>0</v>
      </c>
      <c r="BS91" s="24">
        <f t="shared" si="68"/>
        <v>0</v>
      </c>
      <c r="BT91" s="24">
        <f t="shared" si="68"/>
        <v>0</v>
      </c>
      <c r="BU91" s="24">
        <f t="shared" si="68"/>
        <v>0</v>
      </c>
      <c r="BV91" s="24">
        <f t="shared" si="68"/>
        <v>0</v>
      </c>
      <c r="BW91" s="24">
        <f t="shared" si="68"/>
        <v>0</v>
      </c>
      <c r="BX91" s="24">
        <f t="shared" si="69"/>
        <v>0</v>
      </c>
      <c r="BY91" s="24">
        <f t="shared" si="69"/>
        <v>0</v>
      </c>
      <c r="BZ91" s="24">
        <f t="shared" si="69"/>
        <v>0</v>
      </c>
      <c r="CA91" s="24">
        <f t="shared" si="69"/>
        <v>32999999</v>
      </c>
      <c r="CB91" s="24">
        <f t="shared" si="69"/>
        <v>0</v>
      </c>
      <c r="CC91" s="24">
        <f t="shared" si="69"/>
        <v>0</v>
      </c>
      <c r="CD91" s="24">
        <f t="shared" si="69"/>
        <v>0</v>
      </c>
      <c r="CE91" s="27">
        <f t="shared" si="48"/>
        <v>0.57798611018735535</v>
      </c>
      <c r="CF91" s="24">
        <f t="shared" si="73"/>
        <v>55486666</v>
      </c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>
        <f>+[3]SEPTIEMBRE!$H$1064</f>
        <v>55486666</v>
      </c>
      <c r="DA91" s="24"/>
      <c r="DB91" s="24"/>
      <c r="DC91" s="24"/>
      <c r="DD91" s="27">
        <f t="shared" si="59"/>
        <v>0.42201388981264465</v>
      </c>
      <c r="DE91" s="24">
        <f t="shared" si="50"/>
        <v>40513333</v>
      </c>
      <c r="DF91" s="24">
        <f t="shared" si="70"/>
        <v>0</v>
      </c>
      <c r="DG91" s="24">
        <f t="shared" si="70"/>
        <v>0</v>
      </c>
      <c r="DH91" s="24">
        <f t="shared" si="70"/>
        <v>0</v>
      </c>
      <c r="DI91" s="24">
        <f t="shared" si="70"/>
        <v>0</v>
      </c>
      <c r="DJ91" s="24">
        <f t="shared" si="70"/>
        <v>0</v>
      </c>
      <c r="DK91" s="24">
        <f t="shared" si="70"/>
        <v>0</v>
      </c>
      <c r="DL91" s="24">
        <f t="shared" si="70"/>
        <v>0</v>
      </c>
      <c r="DM91" s="24">
        <f t="shared" si="70"/>
        <v>0</v>
      </c>
      <c r="DN91" s="24">
        <f t="shared" si="70"/>
        <v>0</v>
      </c>
      <c r="DO91" s="24">
        <f t="shared" si="70"/>
        <v>0</v>
      </c>
      <c r="DP91" s="24">
        <f t="shared" si="70"/>
        <v>0</v>
      </c>
      <c r="DQ91" s="24">
        <f t="shared" si="70"/>
        <v>0</v>
      </c>
      <c r="DR91" s="24">
        <f t="shared" si="70"/>
        <v>0</v>
      </c>
      <c r="DS91" s="24">
        <f t="shared" si="70"/>
        <v>0</v>
      </c>
      <c r="DT91" s="24">
        <f t="shared" si="70"/>
        <v>0</v>
      </c>
      <c r="DU91" s="24">
        <f t="shared" si="70"/>
        <v>0</v>
      </c>
      <c r="DV91" s="24">
        <f t="shared" si="71"/>
        <v>0</v>
      </c>
      <c r="DW91" s="24">
        <f t="shared" si="71"/>
        <v>0</v>
      </c>
      <c r="DX91" s="24">
        <f t="shared" si="71"/>
        <v>0</v>
      </c>
      <c r="DY91" s="24">
        <f t="shared" si="71"/>
        <v>40513333</v>
      </c>
      <c r="DZ91" s="24">
        <f t="shared" si="71"/>
        <v>0</v>
      </c>
      <c r="EA91" s="24">
        <f t="shared" si="71"/>
        <v>0</v>
      </c>
      <c r="EB91" s="24">
        <f t="shared" si="71"/>
        <v>0</v>
      </c>
      <c r="ED91" s="153"/>
      <c r="EE91" s="45">
        <f t="shared" si="74"/>
        <v>95999999</v>
      </c>
      <c r="EF91" s="45">
        <f t="shared" si="75"/>
        <v>55486666</v>
      </c>
      <c r="EG91" s="159">
        <f t="shared" si="76"/>
        <v>0.57798611018735535</v>
      </c>
    </row>
    <row r="92" spans="1:137" ht="19.149999999999999" hidden="1" customHeight="1" x14ac:dyDescent="0.25">
      <c r="A92" s="239"/>
      <c r="B92" s="229"/>
      <c r="C92" s="191" t="s">
        <v>274</v>
      </c>
      <c r="D92" s="190" t="s">
        <v>275</v>
      </c>
      <c r="E92" s="33">
        <v>301</v>
      </c>
      <c r="F92" s="188" t="s">
        <v>240</v>
      </c>
      <c r="G92" s="24">
        <f t="shared" si="66"/>
        <v>20000000</v>
      </c>
      <c r="H92" s="25">
        <f>+'[14]SB 2020 2024'!$F46</f>
        <v>20000000</v>
      </c>
      <c r="I92" s="25">
        <f>+H92-G92</f>
        <v>0</v>
      </c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>
        <v>20000000</v>
      </c>
      <c r="AD92" s="24"/>
      <c r="AE92" s="24"/>
      <c r="AF92" s="24">
        <v>0</v>
      </c>
      <c r="AG92" s="27">
        <f t="shared" si="58"/>
        <v>9.4009999999999996E-2</v>
      </c>
      <c r="AH92" s="24">
        <f t="shared" si="44"/>
        <v>1880200</v>
      </c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>
        <f>+[2]OCTUBRE!$AC$1158</f>
        <v>1880200</v>
      </c>
      <c r="BC92" s="24"/>
      <c r="BD92" s="24"/>
      <c r="BE92" s="24"/>
      <c r="BF92" s="27">
        <f t="shared" si="60"/>
        <v>0.90598999999999996</v>
      </c>
      <c r="BG92" s="24">
        <f t="shared" si="67"/>
        <v>18119800</v>
      </c>
      <c r="BH92" s="24">
        <f t="shared" si="68"/>
        <v>0</v>
      </c>
      <c r="BI92" s="24">
        <f t="shared" si="68"/>
        <v>0</v>
      </c>
      <c r="BJ92" s="24">
        <f t="shared" si="68"/>
        <v>0</v>
      </c>
      <c r="BK92" s="24">
        <f t="shared" si="68"/>
        <v>0</v>
      </c>
      <c r="BL92" s="24">
        <f t="shared" si="68"/>
        <v>0</v>
      </c>
      <c r="BM92" s="24">
        <f t="shared" si="68"/>
        <v>0</v>
      </c>
      <c r="BN92" s="24">
        <f t="shared" si="68"/>
        <v>0</v>
      </c>
      <c r="BO92" s="24">
        <f t="shared" si="68"/>
        <v>0</v>
      </c>
      <c r="BP92" s="24">
        <f t="shared" si="68"/>
        <v>0</v>
      </c>
      <c r="BQ92" s="24">
        <f t="shared" si="68"/>
        <v>0</v>
      </c>
      <c r="BR92" s="24">
        <f t="shared" si="68"/>
        <v>0</v>
      </c>
      <c r="BS92" s="24">
        <f t="shared" si="68"/>
        <v>0</v>
      </c>
      <c r="BT92" s="24">
        <f t="shared" si="68"/>
        <v>0</v>
      </c>
      <c r="BU92" s="24">
        <f t="shared" si="68"/>
        <v>0</v>
      </c>
      <c r="BV92" s="24">
        <f t="shared" si="68"/>
        <v>0</v>
      </c>
      <c r="BW92" s="24">
        <f t="shared" si="68"/>
        <v>0</v>
      </c>
      <c r="BX92" s="24">
        <f t="shared" si="69"/>
        <v>0</v>
      </c>
      <c r="BY92" s="24">
        <f t="shared" si="69"/>
        <v>0</v>
      </c>
      <c r="BZ92" s="24">
        <f t="shared" si="69"/>
        <v>0</v>
      </c>
      <c r="CA92" s="24">
        <f t="shared" si="69"/>
        <v>18119800</v>
      </c>
      <c r="CB92" s="24">
        <f t="shared" si="69"/>
        <v>0</v>
      </c>
      <c r="CC92" s="24">
        <f t="shared" si="69"/>
        <v>0</v>
      </c>
      <c r="CD92" s="24">
        <f t="shared" si="69"/>
        <v>0</v>
      </c>
      <c r="CE92" s="27">
        <f t="shared" si="48"/>
        <v>0</v>
      </c>
      <c r="CF92" s="24">
        <f t="shared" si="73"/>
        <v>0</v>
      </c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7">
        <f t="shared" si="59"/>
        <v>1</v>
      </c>
      <c r="DE92" s="24">
        <f t="shared" si="50"/>
        <v>20000000</v>
      </c>
      <c r="DF92" s="24">
        <f t="shared" si="70"/>
        <v>0</v>
      </c>
      <c r="DG92" s="24">
        <f t="shared" si="70"/>
        <v>0</v>
      </c>
      <c r="DH92" s="24">
        <f t="shared" si="70"/>
        <v>0</v>
      </c>
      <c r="DI92" s="24">
        <f t="shared" si="70"/>
        <v>0</v>
      </c>
      <c r="DJ92" s="24">
        <f t="shared" si="70"/>
        <v>0</v>
      </c>
      <c r="DK92" s="24">
        <f t="shared" si="70"/>
        <v>0</v>
      </c>
      <c r="DL92" s="24">
        <f t="shared" si="70"/>
        <v>0</v>
      </c>
      <c r="DM92" s="24">
        <f t="shared" si="70"/>
        <v>0</v>
      </c>
      <c r="DN92" s="24">
        <f t="shared" si="70"/>
        <v>0</v>
      </c>
      <c r="DO92" s="24">
        <f t="shared" si="70"/>
        <v>0</v>
      </c>
      <c r="DP92" s="24">
        <f t="shared" si="70"/>
        <v>0</v>
      </c>
      <c r="DQ92" s="24">
        <f t="shared" si="70"/>
        <v>0</v>
      </c>
      <c r="DR92" s="24">
        <f t="shared" si="70"/>
        <v>0</v>
      </c>
      <c r="DS92" s="24">
        <f t="shared" si="70"/>
        <v>0</v>
      </c>
      <c r="DT92" s="24">
        <f t="shared" si="70"/>
        <v>0</v>
      </c>
      <c r="DU92" s="24">
        <f t="shared" si="70"/>
        <v>0</v>
      </c>
      <c r="DV92" s="24">
        <f t="shared" si="71"/>
        <v>0</v>
      </c>
      <c r="DW92" s="24">
        <f t="shared" si="71"/>
        <v>0</v>
      </c>
      <c r="DX92" s="24">
        <f t="shared" si="71"/>
        <v>0</v>
      </c>
      <c r="DY92" s="24">
        <f t="shared" si="71"/>
        <v>20000000</v>
      </c>
      <c r="DZ92" s="24">
        <f t="shared" si="71"/>
        <v>0</v>
      </c>
      <c r="EA92" s="24">
        <f t="shared" si="71"/>
        <v>0</v>
      </c>
      <c r="EB92" s="24">
        <f t="shared" si="71"/>
        <v>0</v>
      </c>
      <c r="ED92" s="153"/>
      <c r="EE92" s="45">
        <f t="shared" si="74"/>
        <v>20000000</v>
      </c>
      <c r="EF92" s="45">
        <f t="shared" si="75"/>
        <v>0</v>
      </c>
      <c r="EG92" s="159">
        <f t="shared" si="76"/>
        <v>0</v>
      </c>
    </row>
    <row r="93" spans="1:137" ht="22.15" hidden="1" customHeight="1" x14ac:dyDescent="0.25">
      <c r="A93" s="239"/>
      <c r="B93" s="228" t="s">
        <v>276</v>
      </c>
      <c r="C93" s="191" t="s">
        <v>277</v>
      </c>
      <c r="D93" s="33" t="s">
        <v>278</v>
      </c>
      <c r="E93" s="190">
        <v>301</v>
      </c>
      <c r="F93" s="192" t="s">
        <v>240</v>
      </c>
      <c r="G93" s="24">
        <f t="shared" si="66"/>
        <v>65000000</v>
      </c>
      <c r="H93" s="71">
        <f>+'[14]SB 2020 2024'!$F52</f>
        <v>65000000</v>
      </c>
      <c r="I93" s="71">
        <f t="shared" si="72"/>
        <v>0</v>
      </c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>
        <v>65000000</v>
      </c>
      <c r="AA93" s="24"/>
      <c r="AB93" s="24"/>
      <c r="AC93" s="24"/>
      <c r="AD93" s="24"/>
      <c r="AE93" s="24"/>
      <c r="AF93" s="24">
        <v>0</v>
      </c>
      <c r="AG93" s="27">
        <f t="shared" si="58"/>
        <v>0.99471792307692308</v>
      </c>
      <c r="AH93" s="24">
        <f t="shared" si="44"/>
        <v>64656665</v>
      </c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>
        <f>+[3]SEPTIEMBRE!$Z$1100</f>
        <v>64656665</v>
      </c>
      <c r="AZ93" s="24"/>
      <c r="BA93" s="24"/>
      <c r="BB93" s="24"/>
      <c r="BC93" s="24"/>
      <c r="BD93" s="24"/>
      <c r="BE93" s="24"/>
      <c r="BF93" s="27">
        <f t="shared" si="60"/>
        <v>5.2820769230769171E-3</v>
      </c>
      <c r="BG93" s="24">
        <f t="shared" si="67"/>
        <v>343335</v>
      </c>
      <c r="BH93" s="24">
        <f t="shared" si="68"/>
        <v>0</v>
      </c>
      <c r="BI93" s="24">
        <f t="shared" si="68"/>
        <v>0</v>
      </c>
      <c r="BJ93" s="24">
        <f t="shared" si="68"/>
        <v>0</v>
      </c>
      <c r="BK93" s="24">
        <f t="shared" si="68"/>
        <v>0</v>
      </c>
      <c r="BL93" s="24">
        <f t="shared" si="68"/>
        <v>0</v>
      </c>
      <c r="BM93" s="24">
        <f t="shared" si="68"/>
        <v>0</v>
      </c>
      <c r="BN93" s="24">
        <f t="shared" si="68"/>
        <v>0</v>
      </c>
      <c r="BO93" s="24">
        <f t="shared" si="68"/>
        <v>0</v>
      </c>
      <c r="BP93" s="24">
        <f t="shared" si="68"/>
        <v>0</v>
      </c>
      <c r="BQ93" s="24">
        <f t="shared" si="68"/>
        <v>0</v>
      </c>
      <c r="BR93" s="24">
        <f t="shared" si="68"/>
        <v>0</v>
      </c>
      <c r="BS93" s="24">
        <f t="shared" si="68"/>
        <v>0</v>
      </c>
      <c r="BT93" s="24">
        <f t="shared" si="68"/>
        <v>0</v>
      </c>
      <c r="BU93" s="24">
        <f t="shared" si="68"/>
        <v>0</v>
      </c>
      <c r="BV93" s="24">
        <f t="shared" si="68"/>
        <v>0</v>
      </c>
      <c r="BW93" s="24">
        <f t="shared" ref="BW93:BW96" si="77">+Y93-AX93</f>
        <v>0</v>
      </c>
      <c r="BX93" s="24">
        <f t="shared" si="69"/>
        <v>343335</v>
      </c>
      <c r="BY93" s="24">
        <f t="shared" si="69"/>
        <v>0</v>
      </c>
      <c r="BZ93" s="24">
        <f t="shared" si="69"/>
        <v>0</v>
      </c>
      <c r="CA93" s="24">
        <f t="shared" si="69"/>
        <v>0</v>
      </c>
      <c r="CB93" s="24">
        <f t="shared" si="69"/>
        <v>0</v>
      </c>
      <c r="CC93" s="24">
        <f t="shared" si="69"/>
        <v>0</v>
      </c>
      <c r="CD93" s="24">
        <f t="shared" si="69"/>
        <v>0</v>
      </c>
      <c r="CE93" s="27">
        <f t="shared" si="48"/>
        <v>0.99471792307692308</v>
      </c>
      <c r="CF93" s="24">
        <f t="shared" si="73"/>
        <v>64656665</v>
      </c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>
        <f>+[3]SEPTIEMBRE!$H$1098</f>
        <v>64656665</v>
      </c>
      <c r="CX93" s="24"/>
      <c r="CY93" s="24"/>
      <c r="CZ93" s="24"/>
      <c r="DA93" s="24"/>
      <c r="DB93" s="24"/>
      <c r="DC93" s="24"/>
      <c r="DD93" s="27">
        <f t="shared" si="59"/>
        <v>5.2820769230769171E-3</v>
      </c>
      <c r="DE93" s="24">
        <f t="shared" si="50"/>
        <v>343335</v>
      </c>
      <c r="DF93" s="24">
        <f t="shared" si="70"/>
        <v>0</v>
      </c>
      <c r="DG93" s="24">
        <f t="shared" si="70"/>
        <v>0</v>
      </c>
      <c r="DH93" s="24">
        <f t="shared" si="70"/>
        <v>0</v>
      </c>
      <c r="DI93" s="24">
        <f t="shared" si="70"/>
        <v>0</v>
      </c>
      <c r="DJ93" s="24">
        <f t="shared" si="70"/>
        <v>0</v>
      </c>
      <c r="DK93" s="24">
        <f t="shared" si="70"/>
        <v>0</v>
      </c>
      <c r="DL93" s="24">
        <f t="shared" si="70"/>
        <v>0</v>
      </c>
      <c r="DM93" s="24">
        <f t="shared" si="70"/>
        <v>0</v>
      </c>
      <c r="DN93" s="24">
        <f t="shared" si="70"/>
        <v>0</v>
      </c>
      <c r="DO93" s="24">
        <f t="shared" si="70"/>
        <v>0</v>
      </c>
      <c r="DP93" s="24">
        <f t="shared" si="70"/>
        <v>0</v>
      </c>
      <c r="DQ93" s="24">
        <f t="shared" si="70"/>
        <v>0</v>
      </c>
      <c r="DR93" s="24">
        <f t="shared" si="70"/>
        <v>0</v>
      </c>
      <c r="DS93" s="24">
        <f t="shared" si="70"/>
        <v>0</v>
      </c>
      <c r="DT93" s="24">
        <f t="shared" si="70"/>
        <v>0</v>
      </c>
      <c r="DU93" s="24">
        <f t="shared" ref="DU93:DU96" si="78">+Y93-CV93</f>
        <v>0</v>
      </c>
      <c r="DV93" s="24">
        <f t="shared" si="71"/>
        <v>343335</v>
      </c>
      <c r="DW93" s="24">
        <f t="shared" si="71"/>
        <v>0</v>
      </c>
      <c r="DX93" s="24">
        <f t="shared" si="71"/>
        <v>0</v>
      </c>
      <c r="DY93" s="24">
        <f t="shared" si="71"/>
        <v>0</v>
      </c>
      <c r="DZ93" s="24">
        <f t="shared" si="71"/>
        <v>0</v>
      </c>
      <c r="EA93" s="24">
        <f t="shared" si="71"/>
        <v>0</v>
      </c>
      <c r="EB93" s="24">
        <f t="shared" si="71"/>
        <v>0</v>
      </c>
      <c r="ED93" s="153"/>
      <c r="EE93" s="45">
        <f t="shared" si="74"/>
        <v>65000000</v>
      </c>
      <c r="EF93" s="45">
        <f t="shared" si="75"/>
        <v>64656665</v>
      </c>
      <c r="EG93" s="159">
        <f t="shared" si="76"/>
        <v>0.99471792307692308</v>
      </c>
    </row>
    <row r="94" spans="1:137" ht="21" hidden="1" customHeight="1" x14ac:dyDescent="0.25">
      <c r="A94" s="239"/>
      <c r="B94" s="231"/>
      <c r="C94" s="191" t="s">
        <v>279</v>
      </c>
      <c r="D94" s="198" t="s">
        <v>280</v>
      </c>
      <c r="E94" s="33">
        <v>301</v>
      </c>
      <c r="F94" s="188" t="s">
        <v>240</v>
      </c>
      <c r="G94" s="24">
        <f t="shared" si="66"/>
        <v>1662500000</v>
      </c>
      <c r="H94" s="25">
        <f>+'[14]SB 2020 2024'!$F53</f>
        <v>1662500000</v>
      </c>
      <c r="I94" s="25">
        <f t="shared" si="72"/>
        <v>0</v>
      </c>
      <c r="J94" s="76">
        <f>300000000+48200000+24792255</f>
        <v>372992255</v>
      </c>
      <c r="K94" s="76"/>
      <c r="L94" s="76"/>
      <c r="M94" s="24"/>
      <c r="N94" s="76"/>
      <c r="O94" s="76"/>
      <c r="P94" s="76"/>
      <c r="Q94" s="76"/>
      <c r="R94" s="76"/>
      <c r="S94" s="76"/>
      <c r="T94" s="76"/>
      <c r="U94" s="76"/>
      <c r="V94" s="76"/>
      <c r="W94" s="76"/>
      <c r="X94" s="76"/>
      <c r="Y94" s="76"/>
      <c r="Z94" s="76"/>
      <c r="AA94" s="76"/>
      <c r="AB94" s="76"/>
      <c r="AC94" s="77">
        <v>1289507745</v>
      </c>
      <c r="AD94" s="76"/>
      <c r="AE94" s="76"/>
      <c r="AF94" s="76">
        <v>0</v>
      </c>
      <c r="AG94" s="27">
        <f t="shared" si="58"/>
        <v>0.24193478436090227</v>
      </c>
      <c r="AH94" s="24">
        <f t="shared" si="44"/>
        <v>402216579</v>
      </c>
      <c r="AI94" s="76"/>
      <c r="AJ94" s="76"/>
      <c r="AK94" s="76"/>
      <c r="AL94" s="76"/>
      <c r="AM94" s="76"/>
      <c r="AN94" s="76"/>
      <c r="AO94" s="76"/>
      <c r="AP94" s="76"/>
      <c r="AQ94" s="76"/>
      <c r="AR94" s="76"/>
      <c r="AS94" s="76"/>
      <c r="AT94" s="76"/>
      <c r="AU94" s="76"/>
      <c r="AV94" s="76"/>
      <c r="AW94" s="76"/>
      <c r="AX94" s="76"/>
      <c r="AY94" s="76"/>
      <c r="AZ94" s="76"/>
      <c r="BA94" s="76"/>
      <c r="BB94" s="76">
        <f>+[2]OCTUBRE!$AC$1186</f>
        <v>402216579</v>
      </c>
      <c r="BC94" s="76"/>
      <c r="BD94" s="76"/>
      <c r="BE94" s="76"/>
      <c r="BF94" s="27">
        <f t="shared" si="60"/>
        <v>0.75806521563909768</v>
      </c>
      <c r="BG94" s="24">
        <f t="shared" si="67"/>
        <v>1260283421</v>
      </c>
      <c r="BH94" s="24">
        <f t="shared" ref="BH94:BV96" si="79">+J94-AI94</f>
        <v>372992255</v>
      </c>
      <c r="BI94" s="24">
        <f t="shared" si="79"/>
        <v>0</v>
      </c>
      <c r="BJ94" s="24">
        <f t="shared" si="79"/>
        <v>0</v>
      </c>
      <c r="BK94" s="24">
        <f t="shared" si="79"/>
        <v>0</v>
      </c>
      <c r="BL94" s="24">
        <f t="shared" si="79"/>
        <v>0</v>
      </c>
      <c r="BM94" s="24">
        <f t="shared" si="79"/>
        <v>0</v>
      </c>
      <c r="BN94" s="24">
        <f t="shared" si="79"/>
        <v>0</v>
      </c>
      <c r="BO94" s="24">
        <f t="shared" si="79"/>
        <v>0</v>
      </c>
      <c r="BP94" s="24">
        <f t="shared" si="79"/>
        <v>0</v>
      </c>
      <c r="BQ94" s="24">
        <f t="shared" si="79"/>
        <v>0</v>
      </c>
      <c r="BR94" s="24">
        <f t="shared" si="79"/>
        <v>0</v>
      </c>
      <c r="BS94" s="24">
        <f t="shared" si="79"/>
        <v>0</v>
      </c>
      <c r="BT94" s="24">
        <f t="shared" si="79"/>
        <v>0</v>
      </c>
      <c r="BU94" s="24">
        <f t="shared" si="79"/>
        <v>0</v>
      </c>
      <c r="BV94" s="24">
        <f t="shared" si="79"/>
        <v>0</v>
      </c>
      <c r="BW94" s="24">
        <f t="shared" si="77"/>
        <v>0</v>
      </c>
      <c r="BX94" s="24">
        <f t="shared" si="69"/>
        <v>0</v>
      </c>
      <c r="BY94" s="24">
        <f t="shared" si="69"/>
        <v>0</v>
      </c>
      <c r="BZ94" s="24">
        <f t="shared" si="69"/>
        <v>0</v>
      </c>
      <c r="CA94" s="24">
        <f t="shared" si="69"/>
        <v>887291166</v>
      </c>
      <c r="CB94" s="24">
        <f t="shared" si="69"/>
        <v>0</v>
      </c>
      <c r="CC94" s="24">
        <f t="shared" si="69"/>
        <v>0</v>
      </c>
      <c r="CD94" s="24">
        <f t="shared" si="69"/>
        <v>0</v>
      </c>
      <c r="CE94" s="27">
        <f t="shared" si="48"/>
        <v>8.0720709774436086E-2</v>
      </c>
      <c r="CF94" s="24">
        <f t="shared" si="73"/>
        <v>134198180</v>
      </c>
      <c r="CG94" s="76"/>
      <c r="CH94" s="76"/>
      <c r="CI94" s="76"/>
      <c r="CJ94" s="76"/>
      <c r="CK94" s="76"/>
      <c r="CL94" s="76"/>
      <c r="CM94" s="76"/>
      <c r="CN94" s="76"/>
      <c r="CO94" s="76"/>
      <c r="CP94" s="76"/>
      <c r="CQ94" s="76"/>
      <c r="CR94" s="76"/>
      <c r="CS94" s="76"/>
      <c r="CT94" s="76"/>
      <c r="CU94" s="76"/>
      <c r="CV94" s="76"/>
      <c r="CW94" s="76"/>
      <c r="CX94" s="76"/>
      <c r="CY94" s="76"/>
      <c r="CZ94" s="76">
        <f>+[2]OCTUBRE!$H$1184</f>
        <v>134198180</v>
      </c>
      <c r="DA94" s="76"/>
      <c r="DB94" s="76"/>
      <c r="DC94" s="76"/>
      <c r="DD94" s="27">
        <f t="shared" si="59"/>
        <v>0.91927929022556387</v>
      </c>
      <c r="DE94" s="24">
        <f t="shared" si="50"/>
        <v>1528301820</v>
      </c>
      <c r="DF94" s="24">
        <f t="shared" ref="DF94:DT96" si="80">+J94-CG94</f>
        <v>372992255</v>
      </c>
      <c r="DG94" s="24">
        <f t="shared" si="80"/>
        <v>0</v>
      </c>
      <c r="DH94" s="24">
        <f t="shared" si="80"/>
        <v>0</v>
      </c>
      <c r="DI94" s="24">
        <f t="shared" si="80"/>
        <v>0</v>
      </c>
      <c r="DJ94" s="24">
        <f t="shared" si="80"/>
        <v>0</v>
      </c>
      <c r="DK94" s="24">
        <f t="shared" si="80"/>
        <v>0</v>
      </c>
      <c r="DL94" s="24">
        <f t="shared" si="80"/>
        <v>0</v>
      </c>
      <c r="DM94" s="24">
        <f t="shared" si="80"/>
        <v>0</v>
      </c>
      <c r="DN94" s="24">
        <f t="shared" si="80"/>
        <v>0</v>
      </c>
      <c r="DO94" s="24">
        <f t="shared" si="80"/>
        <v>0</v>
      </c>
      <c r="DP94" s="24">
        <f t="shared" si="80"/>
        <v>0</v>
      </c>
      <c r="DQ94" s="24">
        <f t="shared" si="80"/>
        <v>0</v>
      </c>
      <c r="DR94" s="24">
        <f t="shared" si="80"/>
        <v>0</v>
      </c>
      <c r="DS94" s="24">
        <f t="shared" si="80"/>
        <v>0</v>
      </c>
      <c r="DT94" s="24">
        <f t="shared" si="80"/>
        <v>0</v>
      </c>
      <c r="DU94" s="24">
        <f t="shared" si="78"/>
        <v>0</v>
      </c>
      <c r="DV94" s="24">
        <f t="shared" si="71"/>
        <v>0</v>
      </c>
      <c r="DW94" s="24">
        <f t="shared" si="71"/>
        <v>0</v>
      </c>
      <c r="DX94" s="24">
        <f t="shared" si="71"/>
        <v>0</v>
      </c>
      <c r="DY94" s="24">
        <f t="shared" si="71"/>
        <v>1155309565</v>
      </c>
      <c r="DZ94" s="24">
        <f t="shared" si="71"/>
        <v>0</v>
      </c>
      <c r="EA94" s="24">
        <f t="shared" si="71"/>
        <v>0</v>
      </c>
      <c r="EB94" s="24">
        <f t="shared" si="71"/>
        <v>0</v>
      </c>
      <c r="ED94" s="150"/>
      <c r="EE94" s="45">
        <f t="shared" si="74"/>
        <v>1662500000</v>
      </c>
      <c r="EF94" s="45">
        <f t="shared" si="75"/>
        <v>134198180</v>
      </c>
      <c r="EG94" s="159">
        <f t="shared" si="76"/>
        <v>8.0720709774436086E-2</v>
      </c>
    </row>
    <row r="95" spans="1:137" ht="21" hidden="1" customHeight="1" x14ac:dyDescent="0.25">
      <c r="A95" s="239"/>
      <c r="B95" s="231"/>
      <c r="C95" s="191" t="s">
        <v>281</v>
      </c>
      <c r="D95" s="198" t="s">
        <v>282</v>
      </c>
      <c r="E95" s="33">
        <v>301</v>
      </c>
      <c r="F95" s="188" t="s">
        <v>240</v>
      </c>
      <c r="G95" s="24">
        <f t="shared" si="66"/>
        <v>530248273</v>
      </c>
      <c r="H95" s="25">
        <f>+'[14]SB 2020 2024'!$F55</f>
        <v>780000000</v>
      </c>
      <c r="I95" s="25">
        <f t="shared" si="72"/>
        <v>249751727</v>
      </c>
      <c r="J95" s="76"/>
      <c r="K95" s="76"/>
      <c r="L95" s="76"/>
      <c r="M95" s="24">
        <v>34553122</v>
      </c>
      <c r="N95" s="76"/>
      <c r="O95" s="76"/>
      <c r="P95" s="76"/>
      <c r="Q95" s="76"/>
      <c r="R95" s="76"/>
      <c r="S95" s="76"/>
      <c r="T95" s="76"/>
      <c r="U95" s="76"/>
      <c r="V95" s="76"/>
      <c r="W95" s="76"/>
      <c r="X95" s="76"/>
      <c r="Y95" s="76"/>
      <c r="Z95" s="76">
        <v>228191795</v>
      </c>
      <c r="AA95" s="76">
        <v>186024097</v>
      </c>
      <c r="AB95" s="76">
        <v>13975903</v>
      </c>
      <c r="AC95" s="24">
        <v>49503356</v>
      </c>
      <c r="AD95" s="76"/>
      <c r="AE95" s="76"/>
      <c r="AF95" s="78">
        <f>7000000+11000000</f>
        <v>18000000</v>
      </c>
      <c r="AG95" s="27">
        <f t="shared" si="58"/>
        <v>0.87266207842981514</v>
      </c>
      <c r="AH95" s="24">
        <f t="shared" si="44"/>
        <v>462727560</v>
      </c>
      <c r="AI95" s="76"/>
      <c r="AJ95" s="76"/>
      <c r="AK95" s="76"/>
      <c r="AL95" s="76">
        <f>+[2]OCTUBRE!$L$1207</f>
        <v>20000000</v>
      </c>
      <c r="AM95" s="76"/>
      <c r="AN95" s="76"/>
      <c r="AO95" s="76"/>
      <c r="AP95" s="76"/>
      <c r="AQ95" s="76"/>
      <c r="AR95" s="76"/>
      <c r="AS95" s="76"/>
      <c r="AT95" s="76"/>
      <c r="AU95" s="76"/>
      <c r="AV95" s="76"/>
      <c r="AW95" s="76"/>
      <c r="AX95" s="76"/>
      <c r="AY95" s="76">
        <f>+[2]OCTUBRE!$Z$1207</f>
        <v>227771151</v>
      </c>
      <c r="AZ95" s="76">
        <f>+[2]OCTUBRE!$AA$1207</f>
        <v>144029244</v>
      </c>
      <c r="BA95" s="76">
        <f>+[3]SEPTIEMBRE!$AB$1142</f>
        <v>13620000</v>
      </c>
      <c r="BB95" s="76">
        <f>+[3]SEPTIEMBRE!$AC$1142</f>
        <v>39307165</v>
      </c>
      <c r="BC95" s="76"/>
      <c r="BD95" s="76"/>
      <c r="BE95" s="76">
        <f>+[2]OCTUBRE!$AG$1207</f>
        <v>18000000</v>
      </c>
      <c r="BF95" s="27">
        <f t="shared" si="60"/>
        <v>0.12733792157018486</v>
      </c>
      <c r="BG95" s="24">
        <f t="shared" si="67"/>
        <v>67520713</v>
      </c>
      <c r="BH95" s="24">
        <f t="shared" si="79"/>
        <v>0</v>
      </c>
      <c r="BI95" s="24">
        <f t="shared" si="79"/>
        <v>0</v>
      </c>
      <c r="BJ95" s="24">
        <f t="shared" si="79"/>
        <v>0</v>
      </c>
      <c r="BK95" s="24">
        <f t="shared" si="79"/>
        <v>14553122</v>
      </c>
      <c r="BL95" s="24">
        <f t="shared" si="79"/>
        <v>0</v>
      </c>
      <c r="BM95" s="24">
        <f t="shared" si="79"/>
        <v>0</v>
      </c>
      <c r="BN95" s="24">
        <f t="shared" si="79"/>
        <v>0</v>
      </c>
      <c r="BO95" s="24">
        <f t="shared" si="79"/>
        <v>0</v>
      </c>
      <c r="BP95" s="24">
        <f t="shared" si="79"/>
        <v>0</v>
      </c>
      <c r="BQ95" s="24">
        <f t="shared" si="79"/>
        <v>0</v>
      </c>
      <c r="BR95" s="24">
        <f t="shared" si="79"/>
        <v>0</v>
      </c>
      <c r="BS95" s="24">
        <f t="shared" si="79"/>
        <v>0</v>
      </c>
      <c r="BT95" s="24">
        <f t="shared" si="79"/>
        <v>0</v>
      </c>
      <c r="BU95" s="24">
        <f t="shared" si="79"/>
        <v>0</v>
      </c>
      <c r="BV95" s="24">
        <f t="shared" si="79"/>
        <v>0</v>
      </c>
      <c r="BW95" s="24">
        <f t="shared" si="77"/>
        <v>0</v>
      </c>
      <c r="BX95" s="24">
        <f t="shared" si="69"/>
        <v>420644</v>
      </c>
      <c r="BY95" s="24">
        <f t="shared" si="69"/>
        <v>41994853</v>
      </c>
      <c r="BZ95" s="24">
        <f t="shared" si="69"/>
        <v>355903</v>
      </c>
      <c r="CA95" s="24">
        <f t="shared" si="69"/>
        <v>10196191</v>
      </c>
      <c r="CB95" s="24">
        <f t="shared" si="69"/>
        <v>0</v>
      </c>
      <c r="CC95" s="24">
        <f t="shared" si="69"/>
        <v>0</v>
      </c>
      <c r="CD95" s="24">
        <f t="shared" si="69"/>
        <v>0</v>
      </c>
      <c r="CE95" s="27">
        <f t="shared" si="48"/>
        <v>0.75492575154506913</v>
      </c>
      <c r="CF95" s="24">
        <f t="shared" si="73"/>
        <v>400298076</v>
      </c>
      <c r="CG95" s="76"/>
      <c r="CH95" s="76"/>
      <c r="CI95" s="76"/>
      <c r="CJ95" s="76"/>
      <c r="CK95" s="76"/>
      <c r="CL95" s="76"/>
      <c r="CM95" s="76"/>
      <c r="CN95" s="76"/>
      <c r="CO95" s="76"/>
      <c r="CP95" s="76"/>
      <c r="CQ95" s="76"/>
      <c r="CR95" s="76"/>
      <c r="CS95" s="76"/>
      <c r="CT95" s="76"/>
      <c r="CU95" s="76"/>
      <c r="CV95" s="76"/>
      <c r="CW95" s="76">
        <f>+[2]OCTUBRE!$H$1208+[2]OCTUBRE!$H$1212+[2]OCTUBRE!$H$1218+[2]OCTUBRE!$H$1225+[2]OCTUBRE!$H$1229+[2]OCTUBRE!$H$1233+[2]OCTUBRE!$H$1280+[2]OCTUBRE!$H$1287+[2]OCTUBRE!$H$1332</f>
        <v>189537167</v>
      </c>
      <c r="CX95" s="76">
        <f>+[2]OCTUBRE!$H$1308+[2]OCTUBRE!$H$1315+[2]OCTUBRE!$H$1323+[2]OCTUBRE!$H$1338+[2]OCTUBRE!$H$1341+[2]OCTUBRE!$H$1344+[2]OCTUBRE!$H$1347+[2]OCTUBRE!$H$1354+[2]OCTUBRE!$H$1384+[2]OCTUBRE!$H$1387+[2]OCTUBRE!$H$1403</f>
        <v>141620104</v>
      </c>
      <c r="CY95" s="76">
        <f>+[2]OCTUBRE!$H$1302+[2]OCTUBRE!$H$1397</f>
        <v>13620000</v>
      </c>
      <c r="CZ95" s="76">
        <f>+[2]OCTUBRE!$H$1237+[2]OCTUBRE!$H$1242+[2]OCTUBRE!$H$1272+[2]OCTUBRE!$H$1276+[2]OCTUBRE!$H$1294+[2]OCTUBRE!$H$1299</f>
        <v>37771005</v>
      </c>
      <c r="DA95" s="76"/>
      <c r="DB95" s="76"/>
      <c r="DC95" s="76">
        <f>+[2]OCTUBRE!$H$1408</f>
        <v>17749800</v>
      </c>
      <c r="DD95" s="27">
        <f t="shared" si="59"/>
        <v>0.24507424845493087</v>
      </c>
      <c r="DE95" s="24">
        <f t="shared" si="50"/>
        <v>129950197</v>
      </c>
      <c r="DF95" s="24">
        <f t="shared" si="80"/>
        <v>0</v>
      </c>
      <c r="DG95" s="24">
        <f t="shared" si="80"/>
        <v>0</v>
      </c>
      <c r="DH95" s="24">
        <f t="shared" si="80"/>
        <v>0</v>
      </c>
      <c r="DI95" s="24">
        <f t="shared" si="80"/>
        <v>34553122</v>
      </c>
      <c r="DJ95" s="24">
        <f t="shared" si="80"/>
        <v>0</v>
      </c>
      <c r="DK95" s="24">
        <f t="shared" si="80"/>
        <v>0</v>
      </c>
      <c r="DL95" s="24">
        <f t="shared" si="80"/>
        <v>0</v>
      </c>
      <c r="DM95" s="24">
        <f t="shared" si="80"/>
        <v>0</v>
      </c>
      <c r="DN95" s="24">
        <f t="shared" si="80"/>
        <v>0</v>
      </c>
      <c r="DO95" s="24">
        <f t="shared" si="80"/>
        <v>0</v>
      </c>
      <c r="DP95" s="24">
        <f t="shared" si="80"/>
        <v>0</v>
      </c>
      <c r="DQ95" s="24">
        <f t="shared" si="80"/>
        <v>0</v>
      </c>
      <c r="DR95" s="24">
        <f t="shared" si="80"/>
        <v>0</v>
      </c>
      <c r="DS95" s="24">
        <f t="shared" si="80"/>
        <v>0</v>
      </c>
      <c r="DT95" s="24">
        <f t="shared" si="80"/>
        <v>0</v>
      </c>
      <c r="DU95" s="24">
        <f t="shared" si="78"/>
        <v>0</v>
      </c>
      <c r="DV95" s="24">
        <f t="shared" si="71"/>
        <v>38654628</v>
      </c>
      <c r="DW95" s="24">
        <f t="shared" si="71"/>
        <v>44403993</v>
      </c>
      <c r="DX95" s="24">
        <f t="shared" si="71"/>
        <v>355903</v>
      </c>
      <c r="DY95" s="24">
        <f t="shared" si="71"/>
        <v>11732351</v>
      </c>
      <c r="DZ95" s="24">
        <f t="shared" si="71"/>
        <v>0</v>
      </c>
      <c r="EA95" s="24">
        <f t="shared" si="71"/>
        <v>0</v>
      </c>
      <c r="EB95" s="24">
        <f t="shared" si="71"/>
        <v>250200</v>
      </c>
      <c r="ED95" s="150"/>
      <c r="EE95" s="45">
        <f t="shared" si="74"/>
        <v>530248273</v>
      </c>
      <c r="EF95" s="45">
        <f t="shared" si="75"/>
        <v>400298076</v>
      </c>
      <c r="EG95" s="159">
        <f t="shared" si="76"/>
        <v>0.75492575154506913</v>
      </c>
    </row>
    <row r="96" spans="1:137" ht="22.5" hidden="1" customHeight="1" x14ac:dyDescent="0.25">
      <c r="A96" s="240"/>
      <c r="B96" s="229"/>
      <c r="C96" s="191" t="s">
        <v>283</v>
      </c>
      <c r="D96" s="198" t="s">
        <v>284</v>
      </c>
      <c r="E96" s="33">
        <v>301</v>
      </c>
      <c r="F96" s="188" t="s">
        <v>240</v>
      </c>
      <c r="G96" s="24">
        <f t="shared" si="66"/>
        <v>200000000</v>
      </c>
      <c r="H96" s="25">
        <f>+'[14]SB 2020 2024'!$F56</f>
        <v>200000000</v>
      </c>
      <c r="I96" s="25">
        <f t="shared" si="72"/>
        <v>0</v>
      </c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>
        <v>200000000</v>
      </c>
      <c r="AA96" s="76"/>
      <c r="AB96" s="76"/>
      <c r="AC96" s="24"/>
      <c r="AD96" s="76"/>
      <c r="AE96" s="76"/>
      <c r="AF96" s="76">
        <v>0</v>
      </c>
      <c r="AG96" s="27">
        <f t="shared" si="58"/>
        <v>1</v>
      </c>
      <c r="AH96" s="24">
        <f t="shared" si="44"/>
        <v>200000000</v>
      </c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>
        <f>+[4]JULIO!$Z$1134</f>
        <v>200000000</v>
      </c>
      <c r="AZ96" s="76"/>
      <c r="BA96" s="76"/>
      <c r="BB96" s="76"/>
      <c r="BC96" s="76"/>
      <c r="BD96" s="76"/>
      <c r="BE96" s="76"/>
      <c r="BF96" s="27">
        <f t="shared" si="60"/>
        <v>0</v>
      </c>
      <c r="BG96" s="24">
        <f t="shared" si="67"/>
        <v>0</v>
      </c>
      <c r="BH96" s="24">
        <f t="shared" si="79"/>
        <v>0</v>
      </c>
      <c r="BI96" s="24">
        <f t="shared" si="79"/>
        <v>0</v>
      </c>
      <c r="BJ96" s="24">
        <f t="shared" si="79"/>
        <v>0</v>
      </c>
      <c r="BK96" s="24">
        <f t="shared" si="79"/>
        <v>0</v>
      </c>
      <c r="BL96" s="24">
        <f t="shared" si="79"/>
        <v>0</v>
      </c>
      <c r="BM96" s="24">
        <f t="shared" si="79"/>
        <v>0</v>
      </c>
      <c r="BN96" s="24">
        <f t="shared" si="79"/>
        <v>0</v>
      </c>
      <c r="BO96" s="24">
        <f t="shared" si="79"/>
        <v>0</v>
      </c>
      <c r="BP96" s="24">
        <f t="shared" si="79"/>
        <v>0</v>
      </c>
      <c r="BQ96" s="24">
        <f t="shared" si="79"/>
        <v>0</v>
      </c>
      <c r="BR96" s="24">
        <f t="shared" si="79"/>
        <v>0</v>
      </c>
      <c r="BS96" s="24">
        <f t="shared" si="79"/>
        <v>0</v>
      </c>
      <c r="BT96" s="24">
        <f t="shared" si="79"/>
        <v>0</v>
      </c>
      <c r="BU96" s="24">
        <f t="shared" si="79"/>
        <v>0</v>
      </c>
      <c r="BV96" s="24">
        <f t="shared" si="79"/>
        <v>0</v>
      </c>
      <c r="BW96" s="24">
        <f t="shared" si="77"/>
        <v>0</v>
      </c>
      <c r="BX96" s="24">
        <f t="shared" si="69"/>
        <v>0</v>
      </c>
      <c r="BY96" s="24">
        <f t="shared" si="69"/>
        <v>0</v>
      </c>
      <c r="BZ96" s="24">
        <f t="shared" si="69"/>
        <v>0</v>
      </c>
      <c r="CA96" s="24">
        <f t="shared" si="69"/>
        <v>0</v>
      </c>
      <c r="CB96" s="24">
        <f t="shared" si="69"/>
        <v>0</v>
      </c>
      <c r="CC96" s="24">
        <f t="shared" si="69"/>
        <v>0</v>
      </c>
      <c r="CD96" s="24">
        <f t="shared" si="69"/>
        <v>0</v>
      </c>
      <c r="CE96" s="27">
        <f t="shared" si="48"/>
        <v>0.924199985</v>
      </c>
      <c r="CF96" s="24">
        <f t="shared" si="73"/>
        <v>184839997</v>
      </c>
      <c r="CG96" s="76"/>
      <c r="CH96" s="76"/>
      <c r="CI96" s="76"/>
      <c r="CJ96" s="76"/>
      <c r="CK96" s="76"/>
      <c r="CL96" s="76"/>
      <c r="CM96" s="76"/>
      <c r="CN96" s="76"/>
      <c r="CO96" s="76"/>
      <c r="CP96" s="76"/>
      <c r="CQ96" s="76"/>
      <c r="CR96" s="76"/>
      <c r="CS96" s="76"/>
      <c r="CT96" s="76"/>
      <c r="CU96" s="76"/>
      <c r="CV96" s="76"/>
      <c r="CW96" s="76">
        <f>+[3]SEPTIEMBRE!$H$1334+[2]OCTUBRE!$H$1445</f>
        <v>184839997</v>
      </c>
      <c r="CX96" s="76"/>
      <c r="CY96" s="76"/>
      <c r="CZ96" s="76"/>
      <c r="DA96" s="76"/>
      <c r="DB96" s="76"/>
      <c r="DC96" s="76"/>
      <c r="DD96" s="27">
        <f t="shared" si="59"/>
        <v>7.5800014999999998E-2</v>
      </c>
      <c r="DE96" s="24">
        <f t="shared" si="50"/>
        <v>15160003</v>
      </c>
      <c r="DF96" s="24">
        <f t="shared" si="80"/>
        <v>0</v>
      </c>
      <c r="DG96" s="24">
        <f t="shared" si="80"/>
        <v>0</v>
      </c>
      <c r="DH96" s="24">
        <f t="shared" si="80"/>
        <v>0</v>
      </c>
      <c r="DI96" s="24">
        <f t="shared" si="80"/>
        <v>0</v>
      </c>
      <c r="DJ96" s="24">
        <f t="shared" si="80"/>
        <v>0</v>
      </c>
      <c r="DK96" s="24">
        <f t="shared" si="80"/>
        <v>0</v>
      </c>
      <c r="DL96" s="24">
        <f t="shared" si="80"/>
        <v>0</v>
      </c>
      <c r="DM96" s="24">
        <f t="shared" si="80"/>
        <v>0</v>
      </c>
      <c r="DN96" s="24">
        <f t="shared" si="80"/>
        <v>0</v>
      </c>
      <c r="DO96" s="24">
        <f t="shared" si="80"/>
        <v>0</v>
      </c>
      <c r="DP96" s="24">
        <f t="shared" si="80"/>
        <v>0</v>
      </c>
      <c r="DQ96" s="24">
        <f t="shared" si="80"/>
        <v>0</v>
      </c>
      <c r="DR96" s="24">
        <f t="shared" si="80"/>
        <v>0</v>
      </c>
      <c r="DS96" s="24">
        <f t="shared" si="80"/>
        <v>0</v>
      </c>
      <c r="DT96" s="24">
        <f t="shared" si="80"/>
        <v>0</v>
      </c>
      <c r="DU96" s="24">
        <f t="shared" si="78"/>
        <v>0</v>
      </c>
      <c r="DV96" s="24">
        <f t="shared" si="71"/>
        <v>15160003</v>
      </c>
      <c r="DW96" s="24">
        <f t="shared" si="71"/>
        <v>0</v>
      </c>
      <c r="DX96" s="24">
        <f t="shared" si="71"/>
        <v>0</v>
      </c>
      <c r="DY96" s="24">
        <f t="shared" si="71"/>
        <v>0</v>
      </c>
      <c r="DZ96" s="24">
        <f t="shared" si="71"/>
        <v>0</v>
      </c>
      <c r="EA96" s="24">
        <f t="shared" si="71"/>
        <v>0</v>
      </c>
      <c r="EB96" s="24">
        <f t="shared" si="71"/>
        <v>0</v>
      </c>
      <c r="ED96" s="150"/>
      <c r="EE96" s="45">
        <f t="shared" si="74"/>
        <v>200000000</v>
      </c>
      <c r="EF96" s="45">
        <f t="shared" si="75"/>
        <v>184839997</v>
      </c>
      <c r="EG96" s="159">
        <f t="shared" si="76"/>
        <v>0.924199985</v>
      </c>
    </row>
    <row r="97" spans="1:137" s="44" customFormat="1" ht="21" customHeight="1" thickTop="1" thickBot="1" x14ac:dyDescent="0.3">
      <c r="A97" s="67"/>
      <c r="B97" s="259" t="s">
        <v>285</v>
      </c>
      <c r="C97" s="260"/>
      <c r="D97" s="260"/>
      <c r="E97" s="260"/>
      <c r="F97" s="261"/>
      <c r="G97" s="58">
        <f t="shared" ref="G97:AF97" si="81">SUM(G78:G96)</f>
        <v>3893748088</v>
      </c>
      <c r="H97" s="58">
        <f t="shared" si="81"/>
        <v>4682573500</v>
      </c>
      <c r="I97" s="58">
        <f t="shared" si="81"/>
        <v>788825412</v>
      </c>
      <c r="J97" s="58">
        <f t="shared" si="81"/>
        <v>496723420</v>
      </c>
      <c r="K97" s="58">
        <f t="shared" si="81"/>
        <v>0</v>
      </c>
      <c r="L97" s="58">
        <f t="shared" si="81"/>
        <v>29883260</v>
      </c>
      <c r="M97" s="58">
        <f t="shared" si="81"/>
        <v>34553122</v>
      </c>
      <c r="N97" s="58">
        <f t="shared" si="81"/>
        <v>0</v>
      </c>
      <c r="O97" s="58">
        <f t="shared" si="81"/>
        <v>0</v>
      </c>
      <c r="P97" s="58">
        <f t="shared" si="81"/>
        <v>0</v>
      </c>
      <c r="Q97" s="58">
        <f t="shared" si="81"/>
        <v>0</v>
      </c>
      <c r="R97" s="58">
        <f t="shared" si="81"/>
        <v>0</v>
      </c>
      <c r="S97" s="58">
        <f t="shared" si="81"/>
        <v>0</v>
      </c>
      <c r="T97" s="58">
        <f t="shared" si="81"/>
        <v>0</v>
      </c>
      <c r="U97" s="58">
        <f t="shared" si="81"/>
        <v>0</v>
      </c>
      <c r="V97" s="58">
        <f t="shared" si="81"/>
        <v>0</v>
      </c>
      <c r="W97" s="58">
        <f t="shared" si="81"/>
        <v>0</v>
      </c>
      <c r="X97" s="58">
        <f t="shared" si="81"/>
        <v>0</v>
      </c>
      <c r="Y97" s="58">
        <f t="shared" si="81"/>
        <v>0</v>
      </c>
      <c r="Z97" s="58">
        <f t="shared" si="81"/>
        <v>1195065295</v>
      </c>
      <c r="AA97" s="58">
        <f t="shared" si="81"/>
        <v>186024097</v>
      </c>
      <c r="AB97" s="58">
        <f t="shared" si="81"/>
        <v>13975903</v>
      </c>
      <c r="AC97" s="58">
        <f t="shared" si="81"/>
        <v>1828902165</v>
      </c>
      <c r="AD97" s="58">
        <f t="shared" si="81"/>
        <v>0</v>
      </c>
      <c r="AE97" s="58">
        <f t="shared" si="81"/>
        <v>0</v>
      </c>
      <c r="AF97" s="58">
        <f t="shared" si="81"/>
        <v>108620826</v>
      </c>
      <c r="AG97" s="59">
        <f t="shared" si="58"/>
        <v>0.58005224091425611</v>
      </c>
      <c r="AH97" s="58">
        <f>SUM(AH78:AH96)</f>
        <v>2258577304</v>
      </c>
      <c r="AI97" s="58">
        <f>SUM(AI78:AI96)</f>
        <v>123731165</v>
      </c>
      <c r="AJ97" s="58">
        <f>SUM(AJ78:AJ96)</f>
        <v>0</v>
      </c>
      <c r="AK97" s="58">
        <f>SUM(AK78:AK96)</f>
        <v>24243035</v>
      </c>
      <c r="AL97" s="58">
        <f>SUM(AL78:AL96)</f>
        <v>20000000</v>
      </c>
      <c r="AM97" s="58">
        <f t="shared" ref="AM97:BE97" si="82">SUM(AM78:AM96)</f>
        <v>0</v>
      </c>
      <c r="AN97" s="58">
        <f t="shared" si="82"/>
        <v>0</v>
      </c>
      <c r="AO97" s="58">
        <f t="shared" si="82"/>
        <v>0</v>
      </c>
      <c r="AP97" s="58">
        <f t="shared" si="82"/>
        <v>0</v>
      </c>
      <c r="AQ97" s="58">
        <f t="shared" si="82"/>
        <v>0</v>
      </c>
      <c r="AR97" s="58">
        <f t="shared" si="82"/>
        <v>0</v>
      </c>
      <c r="AS97" s="58">
        <f t="shared" si="82"/>
        <v>0</v>
      </c>
      <c r="AT97" s="58">
        <f t="shared" si="82"/>
        <v>0</v>
      </c>
      <c r="AU97" s="58">
        <f t="shared" si="82"/>
        <v>0</v>
      </c>
      <c r="AV97" s="58">
        <f t="shared" si="82"/>
        <v>0</v>
      </c>
      <c r="AW97" s="58">
        <f t="shared" si="82"/>
        <v>0</v>
      </c>
      <c r="AX97" s="58">
        <f t="shared" si="82"/>
        <v>0</v>
      </c>
      <c r="AY97" s="58">
        <f t="shared" si="82"/>
        <v>1086714654</v>
      </c>
      <c r="AZ97" s="58">
        <f t="shared" si="82"/>
        <v>144029244</v>
      </c>
      <c r="BA97" s="58">
        <f t="shared" si="82"/>
        <v>13620000</v>
      </c>
      <c r="BB97" s="58">
        <f t="shared" si="82"/>
        <v>791164006</v>
      </c>
      <c r="BC97" s="58">
        <f t="shared" si="82"/>
        <v>0</v>
      </c>
      <c r="BD97" s="58">
        <f t="shared" si="82"/>
        <v>0</v>
      </c>
      <c r="BE97" s="58">
        <f t="shared" si="82"/>
        <v>55075200</v>
      </c>
      <c r="BF97" s="69">
        <f t="shared" si="60"/>
        <v>0.41994775908574389</v>
      </c>
      <c r="BG97" s="58">
        <f t="shared" ref="BG97:CD97" si="83">SUM(BG78:BG96)</f>
        <v>1635170784</v>
      </c>
      <c r="BH97" s="58">
        <f t="shared" si="83"/>
        <v>372992255</v>
      </c>
      <c r="BI97" s="58">
        <f t="shared" si="83"/>
        <v>0</v>
      </c>
      <c r="BJ97" s="58">
        <f t="shared" si="83"/>
        <v>5640225</v>
      </c>
      <c r="BK97" s="58">
        <f t="shared" si="83"/>
        <v>14553122</v>
      </c>
      <c r="BL97" s="58">
        <f t="shared" si="83"/>
        <v>0</v>
      </c>
      <c r="BM97" s="58">
        <f t="shared" si="83"/>
        <v>0</v>
      </c>
      <c r="BN97" s="58">
        <f t="shared" si="83"/>
        <v>0</v>
      </c>
      <c r="BO97" s="58">
        <f t="shared" si="83"/>
        <v>0</v>
      </c>
      <c r="BP97" s="58">
        <f t="shared" si="83"/>
        <v>0</v>
      </c>
      <c r="BQ97" s="58">
        <f t="shared" si="83"/>
        <v>0</v>
      </c>
      <c r="BR97" s="58">
        <f t="shared" si="83"/>
        <v>0</v>
      </c>
      <c r="BS97" s="58">
        <f t="shared" si="83"/>
        <v>0</v>
      </c>
      <c r="BT97" s="58">
        <f t="shared" si="83"/>
        <v>0</v>
      </c>
      <c r="BU97" s="58">
        <f t="shared" si="83"/>
        <v>0</v>
      </c>
      <c r="BV97" s="58">
        <f t="shared" si="83"/>
        <v>0</v>
      </c>
      <c r="BW97" s="58">
        <f t="shared" si="83"/>
        <v>0</v>
      </c>
      <c r="BX97" s="58">
        <f t="shared" si="83"/>
        <v>108350641</v>
      </c>
      <c r="BY97" s="58">
        <f t="shared" si="83"/>
        <v>41994853</v>
      </c>
      <c r="BZ97" s="58">
        <f t="shared" si="83"/>
        <v>355903</v>
      </c>
      <c r="CA97" s="58">
        <f t="shared" si="83"/>
        <v>1037738159</v>
      </c>
      <c r="CB97" s="58">
        <f t="shared" si="83"/>
        <v>0</v>
      </c>
      <c r="CC97" s="58">
        <f t="shared" si="83"/>
        <v>0</v>
      </c>
      <c r="CD97" s="58">
        <f t="shared" si="83"/>
        <v>53545626</v>
      </c>
      <c r="CE97" s="59">
        <f t="shared" si="48"/>
        <v>0.41875001313644306</v>
      </c>
      <c r="CF97" s="58">
        <f>SUM(CF78:CF96)</f>
        <v>1630507063</v>
      </c>
      <c r="CG97" s="58">
        <f>SUM(CG78:CG96)</f>
        <v>0</v>
      </c>
      <c r="CH97" s="58">
        <f t="shared" ref="CH97:DB97" si="84">SUM(CH78:CH96)</f>
        <v>0</v>
      </c>
      <c r="CI97" s="58">
        <f t="shared" si="84"/>
        <v>0</v>
      </c>
      <c r="CJ97" s="58">
        <f t="shared" si="84"/>
        <v>0</v>
      </c>
      <c r="CK97" s="58">
        <f t="shared" si="84"/>
        <v>0</v>
      </c>
      <c r="CL97" s="58">
        <f t="shared" si="84"/>
        <v>0</v>
      </c>
      <c r="CM97" s="58">
        <f t="shared" si="84"/>
        <v>0</v>
      </c>
      <c r="CN97" s="58">
        <f t="shared" si="84"/>
        <v>0</v>
      </c>
      <c r="CO97" s="58">
        <f t="shared" si="84"/>
        <v>0</v>
      </c>
      <c r="CP97" s="58">
        <f t="shared" si="84"/>
        <v>0</v>
      </c>
      <c r="CQ97" s="58">
        <f t="shared" si="84"/>
        <v>0</v>
      </c>
      <c r="CR97" s="58">
        <f t="shared" si="84"/>
        <v>0</v>
      </c>
      <c r="CS97" s="58">
        <f t="shared" si="84"/>
        <v>0</v>
      </c>
      <c r="CT97" s="58">
        <f t="shared" si="84"/>
        <v>0</v>
      </c>
      <c r="CU97" s="58">
        <f t="shared" si="84"/>
        <v>0</v>
      </c>
      <c r="CV97" s="58">
        <f t="shared" si="84"/>
        <v>0</v>
      </c>
      <c r="CW97" s="58">
        <f>SUM(CW78:CW96)</f>
        <v>920497331</v>
      </c>
      <c r="CX97" s="58">
        <f t="shared" si="84"/>
        <v>141620104</v>
      </c>
      <c r="CY97" s="58">
        <f>SUM(CY78:CY96)</f>
        <v>13620000</v>
      </c>
      <c r="CZ97" s="58">
        <f t="shared" si="84"/>
        <v>509944628</v>
      </c>
      <c r="DA97" s="58">
        <f t="shared" si="84"/>
        <v>0</v>
      </c>
      <c r="DB97" s="58">
        <f t="shared" si="84"/>
        <v>0</v>
      </c>
      <c r="DC97" s="58">
        <f>SUM(DC78:DC96)</f>
        <v>44825000</v>
      </c>
      <c r="DD97" s="59">
        <f t="shared" si="59"/>
        <v>0.581249986863557</v>
      </c>
      <c r="DE97" s="58">
        <f t="shared" ref="DE97:EB97" si="85">SUM(DE78:DE96)</f>
        <v>2263241025</v>
      </c>
      <c r="DF97" s="58">
        <f t="shared" si="85"/>
        <v>496723420</v>
      </c>
      <c r="DG97" s="58">
        <f t="shared" si="85"/>
        <v>0</v>
      </c>
      <c r="DH97" s="58">
        <f t="shared" si="85"/>
        <v>29883260</v>
      </c>
      <c r="DI97" s="58">
        <f t="shared" si="85"/>
        <v>34553122</v>
      </c>
      <c r="DJ97" s="58">
        <f t="shared" si="85"/>
        <v>0</v>
      </c>
      <c r="DK97" s="58">
        <f t="shared" si="85"/>
        <v>0</v>
      </c>
      <c r="DL97" s="58">
        <f t="shared" si="85"/>
        <v>0</v>
      </c>
      <c r="DM97" s="58">
        <f t="shared" si="85"/>
        <v>0</v>
      </c>
      <c r="DN97" s="58">
        <f t="shared" si="85"/>
        <v>0</v>
      </c>
      <c r="DO97" s="58">
        <f t="shared" si="85"/>
        <v>0</v>
      </c>
      <c r="DP97" s="58">
        <f t="shared" si="85"/>
        <v>0</v>
      </c>
      <c r="DQ97" s="58">
        <f t="shared" si="85"/>
        <v>0</v>
      </c>
      <c r="DR97" s="58">
        <f t="shared" si="85"/>
        <v>0</v>
      </c>
      <c r="DS97" s="58">
        <f t="shared" si="85"/>
        <v>0</v>
      </c>
      <c r="DT97" s="58">
        <f t="shared" si="85"/>
        <v>0</v>
      </c>
      <c r="DU97" s="58">
        <f t="shared" si="85"/>
        <v>0</v>
      </c>
      <c r="DV97" s="58">
        <f t="shared" si="85"/>
        <v>274567964</v>
      </c>
      <c r="DW97" s="58">
        <f t="shared" si="85"/>
        <v>44403993</v>
      </c>
      <c r="DX97" s="58">
        <f t="shared" si="85"/>
        <v>355903</v>
      </c>
      <c r="DY97" s="58">
        <f t="shared" si="85"/>
        <v>1318957537</v>
      </c>
      <c r="DZ97" s="58">
        <f t="shared" si="85"/>
        <v>0</v>
      </c>
      <c r="EA97" s="58">
        <f t="shared" si="85"/>
        <v>0</v>
      </c>
      <c r="EB97" s="58">
        <f t="shared" si="85"/>
        <v>63795826</v>
      </c>
      <c r="ED97" s="154" t="s">
        <v>384</v>
      </c>
      <c r="EE97" s="45">
        <f t="shared" si="74"/>
        <v>3893748088</v>
      </c>
      <c r="EF97" s="45">
        <f t="shared" si="75"/>
        <v>1630507063</v>
      </c>
      <c r="EG97" s="159">
        <f t="shared" si="76"/>
        <v>0.41875001313644306</v>
      </c>
    </row>
    <row r="98" spans="1:137" ht="20.45" hidden="1" customHeight="1" thickTop="1" x14ac:dyDescent="0.25">
      <c r="A98" s="208"/>
      <c r="B98" s="259" t="s">
        <v>286</v>
      </c>
      <c r="C98" s="260" t="s">
        <v>287</v>
      </c>
      <c r="D98" s="260" t="s">
        <v>288</v>
      </c>
      <c r="E98" s="260">
        <v>111</v>
      </c>
      <c r="F98" s="261" t="s">
        <v>240</v>
      </c>
      <c r="G98" s="24">
        <f t="shared" ref="G98:G128" si="86">SUM(J98:AF98)</f>
        <v>11893956921</v>
      </c>
      <c r="H98" s="25">
        <f>+'[15]SA 2020 2024'!$F5</f>
        <v>11100000000</v>
      </c>
      <c r="I98" s="25">
        <f>+H98-G98</f>
        <v>-793956921</v>
      </c>
      <c r="J98" s="24">
        <v>300000000</v>
      </c>
      <c r="K98" s="24"/>
      <c r="L98" s="24"/>
      <c r="M98" s="24"/>
      <c r="N98" s="24">
        <v>10500000000</v>
      </c>
      <c r="O98" s="24"/>
      <c r="P98" s="24"/>
      <c r="Q98" s="24"/>
      <c r="R98" s="26">
        <f>206360820-56360820-82762687-47237313</f>
        <v>20000000</v>
      </c>
      <c r="S98" s="26">
        <f>141360820-41360820-46888661-40000000</f>
        <v>13111339</v>
      </c>
      <c r="T98" s="26">
        <f>161360820+77053214-48247365-30000000</f>
        <v>160166669</v>
      </c>
      <c r="U98" s="24"/>
      <c r="V98" s="24"/>
      <c r="W98" s="24">
        <f>277433191</f>
        <v>277433191</v>
      </c>
      <c r="X98" s="24">
        <f>149509826+34275500</f>
        <v>183785326</v>
      </c>
      <c r="Y98" s="24"/>
      <c r="Z98" s="24"/>
      <c r="AA98" s="26">
        <f>2000000000-300000000-538839316-397489048-351759665-319395921-7500000-30700000</f>
        <v>54316050</v>
      </c>
      <c r="AB98" s="26">
        <f>500261191-159116845</f>
        <v>341144346</v>
      </c>
      <c r="AC98" s="26"/>
      <c r="AD98" s="26"/>
      <c r="AE98" s="26">
        <f>123846638-123846638</f>
        <v>0</v>
      </c>
      <c r="AF98" s="26">
        <v>44000000</v>
      </c>
      <c r="AG98" s="48">
        <f t="shared" si="58"/>
        <v>0.33664813010465755</v>
      </c>
      <c r="AH98" s="24">
        <f t="shared" si="44"/>
        <v>4004078357</v>
      </c>
      <c r="AI98" s="24">
        <f>+[4]JULIO!$J$18</f>
        <v>255145313</v>
      </c>
      <c r="AJ98" s="24"/>
      <c r="AK98" s="24"/>
      <c r="AL98" s="24"/>
      <c r="AM98" s="24">
        <f>+[4]JULIO!$M$18</f>
        <v>3644933044</v>
      </c>
      <c r="AN98" s="24"/>
      <c r="AO98" s="24"/>
      <c r="AP98" s="24"/>
      <c r="AQ98" s="24">
        <f>+[4]JULIO!$R$18</f>
        <v>20000000</v>
      </c>
      <c r="AR98" s="24"/>
      <c r="AS98" s="24"/>
      <c r="AT98" s="24"/>
      <c r="AU98" s="24"/>
      <c r="AV98" s="24">
        <f>+[4]JULIO!$W$18</f>
        <v>20000000</v>
      </c>
      <c r="AW98" s="24">
        <f>+[4]JULIO!$X$18</f>
        <v>20000000</v>
      </c>
      <c r="AX98" s="24"/>
      <c r="AY98" s="24"/>
      <c r="AZ98" s="24"/>
      <c r="BA98" s="24"/>
      <c r="BB98" s="24"/>
      <c r="BC98" s="24"/>
      <c r="BD98" s="24"/>
      <c r="BE98" s="24">
        <f>+[2]OCTUBRE!$AG$18</f>
        <v>44000000</v>
      </c>
      <c r="BF98" s="27">
        <f t="shared" si="60"/>
        <v>0.66335186989534245</v>
      </c>
      <c r="BG98" s="24">
        <f t="shared" si="67"/>
        <v>7889878564</v>
      </c>
      <c r="BH98" s="24">
        <f t="shared" ref="BH98:BW113" si="87">+J98-AI98</f>
        <v>44854687</v>
      </c>
      <c r="BI98" s="24">
        <f t="shared" si="87"/>
        <v>0</v>
      </c>
      <c r="BJ98" s="24">
        <f t="shared" si="87"/>
        <v>0</v>
      </c>
      <c r="BK98" s="24">
        <f t="shared" si="87"/>
        <v>0</v>
      </c>
      <c r="BL98" s="24">
        <f t="shared" si="87"/>
        <v>6855066956</v>
      </c>
      <c r="BM98" s="24">
        <f t="shared" si="87"/>
        <v>0</v>
      </c>
      <c r="BN98" s="24">
        <f t="shared" si="87"/>
        <v>0</v>
      </c>
      <c r="BO98" s="24">
        <f t="shared" si="87"/>
        <v>0</v>
      </c>
      <c r="BP98" s="24">
        <f t="shared" si="87"/>
        <v>0</v>
      </c>
      <c r="BQ98" s="24">
        <f t="shared" si="87"/>
        <v>13111339</v>
      </c>
      <c r="BR98" s="24">
        <f t="shared" si="87"/>
        <v>160166669</v>
      </c>
      <c r="BS98" s="24">
        <f t="shared" si="87"/>
        <v>0</v>
      </c>
      <c r="BT98" s="24">
        <f t="shared" si="87"/>
        <v>0</v>
      </c>
      <c r="BU98" s="24">
        <f t="shared" si="87"/>
        <v>257433191</v>
      </c>
      <c r="BV98" s="24">
        <f t="shared" si="87"/>
        <v>163785326</v>
      </c>
      <c r="BW98" s="24">
        <f t="shared" si="87"/>
        <v>0</v>
      </c>
      <c r="BX98" s="24">
        <f t="shared" ref="BX98:CD128" si="88">+Z98-AY98</f>
        <v>0</v>
      </c>
      <c r="BY98" s="24">
        <f t="shared" si="88"/>
        <v>54316050</v>
      </c>
      <c r="BZ98" s="24">
        <f t="shared" si="88"/>
        <v>341144346</v>
      </c>
      <c r="CA98" s="24">
        <f t="shared" si="88"/>
        <v>0</v>
      </c>
      <c r="CB98" s="24">
        <f t="shared" si="88"/>
        <v>0</v>
      </c>
      <c r="CC98" s="24">
        <f t="shared" si="88"/>
        <v>0</v>
      </c>
      <c r="CD98" s="24">
        <f t="shared" si="88"/>
        <v>0</v>
      </c>
      <c r="CE98" s="48">
        <f t="shared" si="48"/>
        <v>0.32775480606602408</v>
      </c>
      <c r="CF98" s="24">
        <f t="shared" si="49"/>
        <v>3898301544</v>
      </c>
      <c r="CG98" s="24">
        <f>+[3]SEPTIEMBRE!$H$41</f>
        <v>255145313</v>
      </c>
      <c r="CH98" s="24"/>
      <c r="CI98" s="24"/>
      <c r="CJ98" s="24"/>
      <c r="CK98" s="24">
        <f>+[3]SEPTIEMBRE!$H$38</f>
        <v>3643156231</v>
      </c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7">
        <f t="shared" si="59"/>
        <v>0.67224519393397597</v>
      </c>
      <c r="DE98" s="24">
        <f t="shared" ref="DE98:DE128" si="89">SUM(DF98:EB98)</f>
        <v>7995655377</v>
      </c>
      <c r="DF98" s="24">
        <f t="shared" ref="DF98:DU113" si="90">+J98-CG98</f>
        <v>44854687</v>
      </c>
      <c r="DG98" s="24">
        <f t="shared" si="90"/>
        <v>0</v>
      </c>
      <c r="DH98" s="24">
        <f t="shared" si="90"/>
        <v>0</v>
      </c>
      <c r="DI98" s="24">
        <f t="shared" si="90"/>
        <v>0</v>
      </c>
      <c r="DJ98" s="24">
        <f t="shared" si="90"/>
        <v>6856843769</v>
      </c>
      <c r="DK98" s="24">
        <f t="shared" si="90"/>
        <v>0</v>
      </c>
      <c r="DL98" s="24">
        <f t="shared" si="90"/>
        <v>0</v>
      </c>
      <c r="DM98" s="24">
        <f t="shared" si="90"/>
        <v>0</v>
      </c>
      <c r="DN98" s="24">
        <f t="shared" si="90"/>
        <v>20000000</v>
      </c>
      <c r="DO98" s="24">
        <f t="shared" si="90"/>
        <v>13111339</v>
      </c>
      <c r="DP98" s="24">
        <f t="shared" si="90"/>
        <v>160166669</v>
      </c>
      <c r="DQ98" s="24">
        <f t="shared" si="90"/>
        <v>0</v>
      </c>
      <c r="DR98" s="24">
        <f t="shared" si="90"/>
        <v>0</v>
      </c>
      <c r="DS98" s="24">
        <f t="shared" si="90"/>
        <v>277433191</v>
      </c>
      <c r="DT98" s="24">
        <f t="shared" si="90"/>
        <v>183785326</v>
      </c>
      <c r="DU98" s="24">
        <f t="shared" si="90"/>
        <v>0</v>
      </c>
      <c r="DV98" s="24">
        <f t="shared" ref="DV98:EB128" si="91">+Z98-CW98</f>
        <v>0</v>
      </c>
      <c r="DW98" s="24">
        <f t="shared" si="91"/>
        <v>54316050</v>
      </c>
      <c r="DX98" s="24">
        <f t="shared" si="91"/>
        <v>341144346</v>
      </c>
      <c r="DY98" s="24">
        <f t="shared" si="91"/>
        <v>0</v>
      </c>
      <c r="DZ98" s="24">
        <f t="shared" si="91"/>
        <v>0</v>
      </c>
      <c r="EA98" s="24">
        <f t="shared" si="91"/>
        <v>0</v>
      </c>
      <c r="EB98" s="24">
        <f t="shared" si="91"/>
        <v>44000000</v>
      </c>
      <c r="ED98" s="150"/>
      <c r="EE98" s="45">
        <f t="shared" si="74"/>
        <v>11893956921</v>
      </c>
      <c r="EF98" s="45">
        <f t="shared" si="75"/>
        <v>3898301544</v>
      </c>
      <c r="EG98" s="159">
        <f t="shared" si="76"/>
        <v>0.32775480606602408</v>
      </c>
    </row>
    <row r="99" spans="1:137" s="81" customFormat="1" ht="19.899999999999999" hidden="1" customHeight="1" x14ac:dyDescent="0.25">
      <c r="A99" s="208"/>
      <c r="B99" s="259"/>
      <c r="C99" s="260" t="s">
        <v>289</v>
      </c>
      <c r="D99" s="260" t="s">
        <v>290</v>
      </c>
      <c r="E99" s="260">
        <v>111</v>
      </c>
      <c r="F99" s="261" t="s">
        <v>240</v>
      </c>
      <c r="G99" s="24">
        <f t="shared" si="86"/>
        <v>0</v>
      </c>
      <c r="H99" s="25">
        <f>+'[15]SA 2020 2024'!$F6</f>
        <v>0</v>
      </c>
      <c r="I99" s="25">
        <f t="shared" ref="I99:I128" si="92">+H99-G99</f>
        <v>0</v>
      </c>
      <c r="J99" s="24"/>
      <c r="K99" s="24"/>
      <c r="L99" s="24"/>
      <c r="M99" s="24"/>
      <c r="N99" s="24"/>
      <c r="O99" s="24"/>
      <c r="P99" s="24"/>
      <c r="Q99" s="24"/>
      <c r="R99" s="26"/>
      <c r="S99" s="26"/>
      <c r="T99" s="26"/>
      <c r="U99" s="24"/>
      <c r="V99" s="24"/>
      <c r="W99" s="24"/>
      <c r="X99" s="24"/>
      <c r="Y99" s="24"/>
      <c r="Z99" s="24"/>
      <c r="AA99" s="26"/>
      <c r="AB99" s="26"/>
      <c r="AC99" s="26"/>
      <c r="AD99" s="26"/>
      <c r="AE99" s="26"/>
      <c r="AF99" s="26">
        <v>0</v>
      </c>
      <c r="AG99" s="27" t="e">
        <f t="shared" si="58"/>
        <v>#DIV/0!</v>
      </c>
      <c r="AH99" s="24">
        <f t="shared" si="44"/>
        <v>0</v>
      </c>
      <c r="AI99" s="26"/>
      <c r="AJ99" s="26"/>
      <c r="AK99" s="26"/>
      <c r="AL99" s="26"/>
      <c r="AM99" s="26"/>
      <c r="AN99" s="26"/>
      <c r="AO99" s="26"/>
      <c r="AP99" s="26"/>
      <c r="AQ99" s="26"/>
      <c r="AR99" s="26"/>
      <c r="AS99" s="26"/>
      <c r="AT99" s="26"/>
      <c r="AU99" s="26"/>
      <c r="AV99" s="26"/>
      <c r="AW99" s="26"/>
      <c r="AX99" s="26"/>
      <c r="AY99" s="26"/>
      <c r="AZ99" s="26"/>
      <c r="BA99" s="26"/>
      <c r="BB99" s="26"/>
      <c r="BC99" s="26"/>
      <c r="BD99" s="26"/>
      <c r="BE99" s="26"/>
      <c r="BF99" s="27" t="e">
        <f t="shared" si="60"/>
        <v>#DIV/0!</v>
      </c>
      <c r="BG99" s="24">
        <f t="shared" si="67"/>
        <v>0</v>
      </c>
      <c r="BH99" s="24">
        <f t="shared" si="87"/>
        <v>0</v>
      </c>
      <c r="BI99" s="24">
        <f t="shared" si="87"/>
        <v>0</v>
      </c>
      <c r="BJ99" s="24">
        <f t="shared" si="87"/>
        <v>0</v>
      </c>
      <c r="BK99" s="24">
        <f t="shared" si="87"/>
        <v>0</v>
      </c>
      <c r="BL99" s="24">
        <f t="shared" si="87"/>
        <v>0</v>
      </c>
      <c r="BM99" s="24">
        <f t="shared" si="87"/>
        <v>0</v>
      </c>
      <c r="BN99" s="24">
        <f t="shared" si="87"/>
        <v>0</v>
      </c>
      <c r="BO99" s="24">
        <f t="shared" si="87"/>
        <v>0</v>
      </c>
      <c r="BP99" s="24">
        <f t="shared" si="87"/>
        <v>0</v>
      </c>
      <c r="BQ99" s="24">
        <f t="shared" si="87"/>
        <v>0</v>
      </c>
      <c r="BR99" s="24">
        <f t="shared" si="87"/>
        <v>0</v>
      </c>
      <c r="BS99" s="24">
        <f t="shared" si="87"/>
        <v>0</v>
      </c>
      <c r="BT99" s="24">
        <f t="shared" si="87"/>
        <v>0</v>
      </c>
      <c r="BU99" s="24">
        <f t="shared" si="87"/>
        <v>0</v>
      </c>
      <c r="BV99" s="24">
        <f t="shared" si="87"/>
        <v>0</v>
      </c>
      <c r="BW99" s="24">
        <f t="shared" si="87"/>
        <v>0</v>
      </c>
      <c r="BX99" s="24">
        <f t="shared" si="88"/>
        <v>0</v>
      </c>
      <c r="BY99" s="24">
        <f t="shared" si="88"/>
        <v>0</v>
      </c>
      <c r="BZ99" s="24">
        <f t="shared" si="88"/>
        <v>0</v>
      </c>
      <c r="CA99" s="24">
        <f t="shared" si="88"/>
        <v>0</v>
      </c>
      <c r="CB99" s="24">
        <f t="shared" si="88"/>
        <v>0</v>
      </c>
      <c r="CC99" s="24">
        <f t="shared" si="88"/>
        <v>0</v>
      </c>
      <c r="CD99" s="24">
        <f t="shared" si="88"/>
        <v>0</v>
      </c>
      <c r="CE99" s="27" t="e">
        <f t="shared" si="48"/>
        <v>#DIV/0!</v>
      </c>
      <c r="CF99" s="24">
        <f t="shared" si="49"/>
        <v>0</v>
      </c>
      <c r="CG99" s="26"/>
      <c r="CH99" s="26"/>
      <c r="CI99" s="26"/>
      <c r="CJ99" s="26"/>
      <c r="CK99" s="26"/>
      <c r="CL99" s="26"/>
      <c r="CM99" s="26"/>
      <c r="CN99" s="24"/>
      <c r="CO99" s="24"/>
      <c r="CP99" s="26"/>
      <c r="CQ99" s="26"/>
      <c r="CR99" s="26"/>
      <c r="CS99" s="26"/>
      <c r="CT99" s="26"/>
      <c r="CU99" s="26"/>
      <c r="CV99" s="26"/>
      <c r="CW99" s="26"/>
      <c r="CX99" s="26"/>
      <c r="CY99" s="26"/>
      <c r="CZ99" s="26"/>
      <c r="DA99" s="26"/>
      <c r="DB99" s="26"/>
      <c r="DC99" s="26"/>
      <c r="DD99" s="27" t="e">
        <f t="shared" si="59"/>
        <v>#DIV/0!</v>
      </c>
      <c r="DE99" s="24">
        <f t="shared" si="89"/>
        <v>0</v>
      </c>
      <c r="DF99" s="24">
        <f t="shared" si="90"/>
        <v>0</v>
      </c>
      <c r="DG99" s="24">
        <f t="shared" si="90"/>
        <v>0</v>
      </c>
      <c r="DH99" s="24">
        <f t="shared" si="90"/>
        <v>0</v>
      </c>
      <c r="DI99" s="24">
        <f t="shared" si="90"/>
        <v>0</v>
      </c>
      <c r="DJ99" s="24">
        <f t="shared" si="90"/>
        <v>0</v>
      </c>
      <c r="DK99" s="24">
        <f t="shared" si="90"/>
        <v>0</v>
      </c>
      <c r="DL99" s="24">
        <f t="shared" si="90"/>
        <v>0</v>
      </c>
      <c r="DM99" s="24">
        <f t="shared" si="90"/>
        <v>0</v>
      </c>
      <c r="DN99" s="24">
        <f t="shared" si="90"/>
        <v>0</v>
      </c>
      <c r="DO99" s="24">
        <f t="shared" si="90"/>
        <v>0</v>
      </c>
      <c r="DP99" s="24">
        <f t="shared" si="90"/>
        <v>0</v>
      </c>
      <c r="DQ99" s="24">
        <f t="shared" si="90"/>
        <v>0</v>
      </c>
      <c r="DR99" s="24">
        <f t="shared" si="90"/>
        <v>0</v>
      </c>
      <c r="DS99" s="24">
        <f t="shared" si="90"/>
        <v>0</v>
      </c>
      <c r="DT99" s="24">
        <f t="shared" si="90"/>
        <v>0</v>
      </c>
      <c r="DU99" s="24">
        <f t="shared" si="90"/>
        <v>0</v>
      </c>
      <c r="DV99" s="24">
        <f t="shared" si="91"/>
        <v>0</v>
      </c>
      <c r="DW99" s="24">
        <f t="shared" si="91"/>
        <v>0</v>
      </c>
      <c r="DX99" s="24">
        <f t="shared" si="91"/>
        <v>0</v>
      </c>
      <c r="DY99" s="24">
        <f t="shared" si="91"/>
        <v>0</v>
      </c>
      <c r="DZ99" s="24">
        <f t="shared" si="91"/>
        <v>0</v>
      </c>
      <c r="EA99" s="24">
        <f t="shared" si="91"/>
        <v>0</v>
      </c>
      <c r="EB99" s="24">
        <f t="shared" si="91"/>
        <v>0</v>
      </c>
      <c r="ED99" s="150"/>
      <c r="EE99" s="45">
        <f t="shared" si="74"/>
        <v>0</v>
      </c>
      <c r="EF99" s="45">
        <f t="shared" si="75"/>
        <v>0</v>
      </c>
      <c r="EG99" s="159" t="e">
        <f t="shared" si="76"/>
        <v>#DIV/0!</v>
      </c>
    </row>
    <row r="100" spans="1:137" ht="19.899999999999999" hidden="1" customHeight="1" x14ac:dyDescent="0.25">
      <c r="A100" s="208"/>
      <c r="B100" s="259"/>
      <c r="C100" s="260" t="s">
        <v>291</v>
      </c>
      <c r="D100" s="260" t="s">
        <v>292</v>
      </c>
      <c r="E100" s="260">
        <v>111</v>
      </c>
      <c r="F100" s="261" t="s">
        <v>240</v>
      </c>
      <c r="G100" s="24">
        <f t="shared" si="86"/>
        <v>0</v>
      </c>
      <c r="H100" s="25">
        <f>+'[15]SA 2020 2024'!$F7</f>
        <v>50000000</v>
      </c>
      <c r="I100" s="25">
        <f t="shared" si="92"/>
        <v>50000000</v>
      </c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6"/>
      <c r="AB100" s="26"/>
      <c r="AC100" s="26"/>
      <c r="AD100" s="26"/>
      <c r="AE100" s="26"/>
      <c r="AF100" s="26">
        <v>0</v>
      </c>
      <c r="AG100" s="27" t="e">
        <f t="shared" si="58"/>
        <v>#DIV/0!</v>
      </c>
      <c r="AH100" s="24">
        <f t="shared" si="44"/>
        <v>0</v>
      </c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7" t="e">
        <f t="shared" si="60"/>
        <v>#DIV/0!</v>
      </c>
      <c r="BG100" s="24">
        <f t="shared" si="67"/>
        <v>0</v>
      </c>
      <c r="BH100" s="24">
        <f t="shared" si="87"/>
        <v>0</v>
      </c>
      <c r="BI100" s="24">
        <f t="shared" si="87"/>
        <v>0</v>
      </c>
      <c r="BJ100" s="24">
        <f t="shared" si="87"/>
        <v>0</v>
      </c>
      <c r="BK100" s="24">
        <f t="shared" si="87"/>
        <v>0</v>
      </c>
      <c r="BL100" s="24">
        <f t="shared" si="87"/>
        <v>0</v>
      </c>
      <c r="BM100" s="24">
        <f t="shared" si="87"/>
        <v>0</v>
      </c>
      <c r="BN100" s="24">
        <f t="shared" si="87"/>
        <v>0</v>
      </c>
      <c r="BO100" s="24">
        <f t="shared" si="87"/>
        <v>0</v>
      </c>
      <c r="BP100" s="24">
        <f t="shared" si="87"/>
        <v>0</v>
      </c>
      <c r="BQ100" s="24">
        <f t="shared" si="87"/>
        <v>0</v>
      </c>
      <c r="BR100" s="24">
        <f t="shared" si="87"/>
        <v>0</v>
      </c>
      <c r="BS100" s="24">
        <f t="shared" si="87"/>
        <v>0</v>
      </c>
      <c r="BT100" s="24">
        <f t="shared" si="87"/>
        <v>0</v>
      </c>
      <c r="BU100" s="24">
        <f t="shared" si="87"/>
        <v>0</v>
      </c>
      <c r="BV100" s="24">
        <f t="shared" si="87"/>
        <v>0</v>
      </c>
      <c r="BW100" s="24">
        <f t="shared" si="87"/>
        <v>0</v>
      </c>
      <c r="BX100" s="24">
        <f t="shared" si="88"/>
        <v>0</v>
      </c>
      <c r="BY100" s="24">
        <f t="shared" si="88"/>
        <v>0</v>
      </c>
      <c r="BZ100" s="24">
        <f t="shared" si="88"/>
        <v>0</v>
      </c>
      <c r="CA100" s="24">
        <f t="shared" si="88"/>
        <v>0</v>
      </c>
      <c r="CB100" s="24">
        <f t="shared" si="88"/>
        <v>0</v>
      </c>
      <c r="CC100" s="24">
        <f t="shared" si="88"/>
        <v>0</v>
      </c>
      <c r="CD100" s="24">
        <f t="shared" si="88"/>
        <v>0</v>
      </c>
      <c r="CE100" s="27" t="e">
        <f t="shared" si="48"/>
        <v>#DIV/0!</v>
      </c>
      <c r="CF100" s="24">
        <f t="shared" si="49"/>
        <v>0</v>
      </c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6"/>
      <c r="DD100" s="27" t="e">
        <f t="shared" si="59"/>
        <v>#DIV/0!</v>
      </c>
      <c r="DE100" s="24">
        <f t="shared" si="89"/>
        <v>0</v>
      </c>
      <c r="DF100" s="24">
        <f t="shared" si="90"/>
        <v>0</v>
      </c>
      <c r="DG100" s="24">
        <f t="shared" si="90"/>
        <v>0</v>
      </c>
      <c r="DH100" s="24">
        <f t="shared" si="90"/>
        <v>0</v>
      </c>
      <c r="DI100" s="24">
        <f t="shared" si="90"/>
        <v>0</v>
      </c>
      <c r="DJ100" s="24">
        <f t="shared" si="90"/>
        <v>0</v>
      </c>
      <c r="DK100" s="24">
        <f t="shared" si="90"/>
        <v>0</v>
      </c>
      <c r="DL100" s="24">
        <f t="shared" si="90"/>
        <v>0</v>
      </c>
      <c r="DM100" s="24">
        <f t="shared" si="90"/>
        <v>0</v>
      </c>
      <c r="DN100" s="24">
        <f t="shared" si="90"/>
        <v>0</v>
      </c>
      <c r="DO100" s="24">
        <f t="shared" si="90"/>
        <v>0</v>
      </c>
      <c r="DP100" s="24">
        <f t="shared" si="90"/>
        <v>0</v>
      </c>
      <c r="DQ100" s="24">
        <f t="shared" si="90"/>
        <v>0</v>
      </c>
      <c r="DR100" s="24">
        <f t="shared" si="90"/>
        <v>0</v>
      </c>
      <c r="DS100" s="24">
        <f t="shared" si="90"/>
        <v>0</v>
      </c>
      <c r="DT100" s="24">
        <f t="shared" si="90"/>
        <v>0</v>
      </c>
      <c r="DU100" s="24">
        <f t="shared" si="90"/>
        <v>0</v>
      </c>
      <c r="DV100" s="24">
        <f t="shared" si="91"/>
        <v>0</v>
      </c>
      <c r="DW100" s="24">
        <f t="shared" si="91"/>
        <v>0</v>
      </c>
      <c r="DX100" s="24">
        <f t="shared" si="91"/>
        <v>0</v>
      </c>
      <c r="DY100" s="24">
        <f t="shared" si="91"/>
        <v>0</v>
      </c>
      <c r="DZ100" s="24">
        <f t="shared" si="91"/>
        <v>0</v>
      </c>
      <c r="EA100" s="24">
        <f t="shared" si="91"/>
        <v>0</v>
      </c>
      <c r="EB100" s="24">
        <f t="shared" si="91"/>
        <v>0</v>
      </c>
      <c r="ED100" s="150"/>
      <c r="EE100" s="45">
        <f t="shared" si="74"/>
        <v>0</v>
      </c>
      <c r="EF100" s="45">
        <f t="shared" si="75"/>
        <v>0</v>
      </c>
      <c r="EG100" s="159" t="e">
        <f t="shared" si="76"/>
        <v>#DIV/0!</v>
      </c>
    </row>
    <row r="101" spans="1:137" ht="57" hidden="1" customHeight="1" x14ac:dyDescent="0.25">
      <c r="A101" s="208"/>
      <c r="B101" s="259"/>
      <c r="C101" s="260" t="s">
        <v>293</v>
      </c>
      <c r="D101" s="260" t="s">
        <v>294</v>
      </c>
      <c r="E101" s="260">
        <v>111</v>
      </c>
      <c r="F101" s="261" t="s">
        <v>295</v>
      </c>
      <c r="G101" s="24">
        <f t="shared" si="86"/>
        <v>899585525</v>
      </c>
      <c r="H101" s="25">
        <f>+'[15]SA 2020 2024'!$F8</f>
        <v>600040000</v>
      </c>
      <c r="I101" s="25">
        <f t="shared" si="92"/>
        <v>-299545525</v>
      </c>
      <c r="J101" s="24"/>
      <c r="K101" s="24"/>
      <c r="L101" s="24"/>
      <c r="M101" s="24"/>
      <c r="N101" s="24"/>
      <c r="O101" s="24"/>
      <c r="P101" s="24"/>
      <c r="Q101" s="24"/>
      <c r="R101" s="24">
        <v>56360820</v>
      </c>
      <c r="S101" s="24">
        <f>41360820+17353655-50000000</f>
        <v>8714475</v>
      </c>
      <c r="T101" s="24"/>
      <c r="U101" s="24"/>
      <c r="V101" s="24">
        <v>64000000</v>
      </c>
      <c r="W101" s="24">
        <v>182170491</v>
      </c>
      <c r="X101" s="24"/>
      <c r="Y101" s="24"/>
      <c r="Z101" s="24"/>
      <c r="AA101" s="26">
        <f>397489048+7500000</f>
        <v>404989048</v>
      </c>
      <c r="AB101" s="26">
        <v>12504053</v>
      </c>
      <c r="AC101" s="26"/>
      <c r="AD101" s="26"/>
      <c r="AE101" s="26">
        <v>123846638</v>
      </c>
      <c r="AF101" s="26">
        <f>12000000+25000000+7000000+41938011-41938011+3000000</f>
        <v>47000000</v>
      </c>
      <c r="AG101" s="27">
        <f t="shared" si="58"/>
        <v>0.16268229527148073</v>
      </c>
      <c r="AH101" s="24">
        <f t="shared" si="44"/>
        <v>146346638</v>
      </c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>
        <f>+[2]OCTUBRE!$AA$64</f>
        <v>7500000</v>
      </c>
      <c r="BA101" s="24"/>
      <c r="BB101" s="24"/>
      <c r="BC101" s="24"/>
      <c r="BD101" s="24">
        <f>+[2]OCTUBRE!$AF$64</f>
        <v>123846638</v>
      </c>
      <c r="BE101" s="24">
        <f>+[2]OCTUBRE!$AG$64</f>
        <v>15000000</v>
      </c>
      <c r="BF101" s="27">
        <f t="shared" si="60"/>
        <v>0.8373177047285193</v>
      </c>
      <c r="BG101" s="24">
        <f t="shared" si="67"/>
        <v>753238887</v>
      </c>
      <c r="BH101" s="24">
        <f t="shared" si="87"/>
        <v>0</v>
      </c>
      <c r="BI101" s="24">
        <f t="shared" si="87"/>
        <v>0</v>
      </c>
      <c r="BJ101" s="24">
        <f t="shared" si="87"/>
        <v>0</v>
      </c>
      <c r="BK101" s="24">
        <f t="shared" si="87"/>
        <v>0</v>
      </c>
      <c r="BL101" s="24">
        <f t="shared" si="87"/>
        <v>0</v>
      </c>
      <c r="BM101" s="24">
        <f t="shared" si="87"/>
        <v>0</v>
      </c>
      <c r="BN101" s="24">
        <f t="shared" si="87"/>
        <v>0</v>
      </c>
      <c r="BO101" s="24">
        <f t="shared" si="87"/>
        <v>0</v>
      </c>
      <c r="BP101" s="24">
        <f t="shared" si="87"/>
        <v>56360820</v>
      </c>
      <c r="BQ101" s="24">
        <f t="shared" si="87"/>
        <v>8714475</v>
      </c>
      <c r="BR101" s="24">
        <f t="shared" si="87"/>
        <v>0</v>
      </c>
      <c r="BS101" s="24">
        <f t="shared" si="87"/>
        <v>0</v>
      </c>
      <c r="BT101" s="24">
        <f t="shared" si="87"/>
        <v>64000000</v>
      </c>
      <c r="BU101" s="24">
        <f t="shared" si="87"/>
        <v>182170491</v>
      </c>
      <c r="BV101" s="24">
        <f t="shared" si="87"/>
        <v>0</v>
      </c>
      <c r="BW101" s="24">
        <f t="shared" si="87"/>
        <v>0</v>
      </c>
      <c r="BX101" s="24">
        <f t="shared" si="88"/>
        <v>0</v>
      </c>
      <c r="BY101" s="24">
        <f t="shared" si="88"/>
        <v>397489048</v>
      </c>
      <c r="BZ101" s="24">
        <f t="shared" si="88"/>
        <v>12504053</v>
      </c>
      <c r="CA101" s="24">
        <f t="shared" si="88"/>
        <v>0</v>
      </c>
      <c r="CB101" s="24">
        <f t="shared" si="88"/>
        <v>0</v>
      </c>
      <c r="CC101" s="24">
        <f t="shared" si="88"/>
        <v>0</v>
      </c>
      <c r="CD101" s="24">
        <f t="shared" si="88"/>
        <v>32000000</v>
      </c>
      <c r="CE101" s="27">
        <f t="shared" si="48"/>
        <v>8.4286316189892008E-3</v>
      </c>
      <c r="CF101" s="24">
        <f t="shared" si="49"/>
        <v>7582275</v>
      </c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>
        <f>+[3]SEPTIEMBRE!$H$65</f>
        <v>7582275</v>
      </c>
      <c r="DD101" s="27">
        <f t="shared" si="59"/>
        <v>0.99157136838101079</v>
      </c>
      <c r="DE101" s="24">
        <f t="shared" si="89"/>
        <v>892003250</v>
      </c>
      <c r="DF101" s="24">
        <f t="shared" si="90"/>
        <v>0</v>
      </c>
      <c r="DG101" s="24">
        <f t="shared" si="90"/>
        <v>0</v>
      </c>
      <c r="DH101" s="24">
        <f t="shared" si="90"/>
        <v>0</v>
      </c>
      <c r="DI101" s="24">
        <f t="shared" si="90"/>
        <v>0</v>
      </c>
      <c r="DJ101" s="24">
        <f t="shared" si="90"/>
        <v>0</v>
      </c>
      <c r="DK101" s="24">
        <f t="shared" si="90"/>
        <v>0</v>
      </c>
      <c r="DL101" s="24">
        <f t="shared" si="90"/>
        <v>0</v>
      </c>
      <c r="DM101" s="24">
        <f t="shared" si="90"/>
        <v>0</v>
      </c>
      <c r="DN101" s="24">
        <f t="shared" si="90"/>
        <v>56360820</v>
      </c>
      <c r="DO101" s="24">
        <f t="shared" si="90"/>
        <v>8714475</v>
      </c>
      <c r="DP101" s="24">
        <f t="shared" si="90"/>
        <v>0</v>
      </c>
      <c r="DQ101" s="24">
        <f t="shared" si="90"/>
        <v>0</v>
      </c>
      <c r="DR101" s="24">
        <f t="shared" si="90"/>
        <v>64000000</v>
      </c>
      <c r="DS101" s="24">
        <f t="shared" si="90"/>
        <v>182170491</v>
      </c>
      <c r="DT101" s="24">
        <f t="shared" si="90"/>
        <v>0</v>
      </c>
      <c r="DU101" s="24">
        <f t="shared" si="90"/>
        <v>0</v>
      </c>
      <c r="DV101" s="24">
        <f t="shared" si="91"/>
        <v>0</v>
      </c>
      <c r="DW101" s="24">
        <f t="shared" si="91"/>
        <v>404989048</v>
      </c>
      <c r="DX101" s="24">
        <f t="shared" si="91"/>
        <v>12504053</v>
      </c>
      <c r="DY101" s="24">
        <f t="shared" si="91"/>
        <v>0</v>
      </c>
      <c r="DZ101" s="24">
        <f t="shared" si="91"/>
        <v>0</v>
      </c>
      <c r="EA101" s="24">
        <f t="shared" si="91"/>
        <v>123846638</v>
      </c>
      <c r="EB101" s="24">
        <f t="shared" si="91"/>
        <v>39417725</v>
      </c>
      <c r="ED101" s="150"/>
      <c r="EE101" s="45">
        <f t="shared" si="74"/>
        <v>899585525</v>
      </c>
      <c r="EF101" s="45">
        <f t="shared" si="75"/>
        <v>7582275</v>
      </c>
      <c r="EG101" s="159">
        <f t="shared" si="76"/>
        <v>8.4286316189892008E-3</v>
      </c>
    </row>
    <row r="102" spans="1:137" s="81" customFormat="1" ht="24" hidden="1" customHeight="1" x14ac:dyDescent="0.25">
      <c r="A102" s="208"/>
      <c r="B102" s="259"/>
      <c r="C102" s="260" t="s">
        <v>296</v>
      </c>
      <c r="D102" s="260" t="s">
        <v>297</v>
      </c>
      <c r="E102" s="260">
        <v>111</v>
      </c>
      <c r="F102" s="261" t="s">
        <v>240</v>
      </c>
      <c r="G102" s="24">
        <f t="shared" si="86"/>
        <v>97495947</v>
      </c>
      <c r="H102" s="25">
        <f>+'[15]SA 2020 2024'!$F9</f>
        <v>300000000</v>
      </c>
      <c r="I102" s="25">
        <f t="shared" si="92"/>
        <v>202504053</v>
      </c>
      <c r="J102" s="47"/>
      <c r="K102" s="24"/>
      <c r="L102" s="24"/>
      <c r="M102" s="24"/>
      <c r="N102" s="24"/>
      <c r="O102" s="24"/>
      <c r="P102" s="24"/>
      <c r="Q102" s="24">
        <f>97495947</f>
        <v>97495947</v>
      </c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>
        <f>12504053-12504053</f>
        <v>0</v>
      </c>
      <c r="AC102" s="24"/>
      <c r="AD102" s="24"/>
      <c r="AE102" s="24"/>
      <c r="AF102" s="24">
        <v>0</v>
      </c>
      <c r="AG102" s="27">
        <f t="shared" si="58"/>
        <v>0.93280879665695227</v>
      </c>
      <c r="AH102" s="24">
        <f t="shared" si="44"/>
        <v>90945077</v>
      </c>
      <c r="AI102" s="26"/>
      <c r="AJ102" s="26"/>
      <c r="AK102" s="26"/>
      <c r="AL102" s="26"/>
      <c r="AM102" s="26"/>
      <c r="AN102" s="26"/>
      <c r="AO102" s="26"/>
      <c r="AP102" s="26">
        <f>+[4]JULIO!$Q$71</f>
        <v>90945077</v>
      </c>
      <c r="AQ102" s="26"/>
      <c r="AR102" s="26"/>
      <c r="AS102" s="26"/>
      <c r="AT102" s="26"/>
      <c r="AU102" s="26"/>
      <c r="AV102" s="26"/>
      <c r="AW102" s="26"/>
      <c r="AX102" s="26"/>
      <c r="AY102" s="26"/>
      <c r="AZ102" s="26"/>
      <c r="BA102" s="26"/>
      <c r="BB102" s="26"/>
      <c r="BC102" s="26"/>
      <c r="BD102" s="26"/>
      <c r="BE102" s="26"/>
      <c r="BF102" s="27">
        <f t="shared" si="60"/>
        <v>6.7191203343047734E-2</v>
      </c>
      <c r="BG102" s="24">
        <f t="shared" si="67"/>
        <v>6550870</v>
      </c>
      <c r="BH102" s="24">
        <f t="shared" si="87"/>
        <v>0</v>
      </c>
      <c r="BI102" s="24">
        <f t="shared" si="87"/>
        <v>0</v>
      </c>
      <c r="BJ102" s="24">
        <f t="shared" si="87"/>
        <v>0</v>
      </c>
      <c r="BK102" s="24">
        <f t="shared" si="87"/>
        <v>0</v>
      </c>
      <c r="BL102" s="24">
        <f t="shared" si="87"/>
        <v>0</v>
      </c>
      <c r="BM102" s="24">
        <f t="shared" si="87"/>
        <v>0</v>
      </c>
      <c r="BN102" s="24">
        <f t="shared" si="87"/>
        <v>0</v>
      </c>
      <c r="BO102" s="24">
        <f t="shared" si="87"/>
        <v>6550870</v>
      </c>
      <c r="BP102" s="24">
        <f t="shared" si="87"/>
        <v>0</v>
      </c>
      <c r="BQ102" s="24">
        <f t="shared" si="87"/>
        <v>0</v>
      </c>
      <c r="BR102" s="24">
        <f t="shared" si="87"/>
        <v>0</v>
      </c>
      <c r="BS102" s="24">
        <f t="shared" si="87"/>
        <v>0</v>
      </c>
      <c r="BT102" s="24">
        <f t="shared" si="87"/>
        <v>0</v>
      </c>
      <c r="BU102" s="24">
        <f t="shared" si="87"/>
        <v>0</v>
      </c>
      <c r="BV102" s="24">
        <f t="shared" si="87"/>
        <v>0</v>
      </c>
      <c r="BW102" s="24">
        <f t="shared" si="87"/>
        <v>0</v>
      </c>
      <c r="BX102" s="24">
        <f t="shared" si="88"/>
        <v>0</v>
      </c>
      <c r="BY102" s="24">
        <f t="shared" si="88"/>
        <v>0</v>
      </c>
      <c r="BZ102" s="24">
        <f t="shared" si="88"/>
        <v>0</v>
      </c>
      <c r="CA102" s="24">
        <f t="shared" si="88"/>
        <v>0</v>
      </c>
      <c r="CB102" s="24">
        <f t="shared" si="88"/>
        <v>0</v>
      </c>
      <c r="CC102" s="24">
        <f t="shared" si="88"/>
        <v>0</v>
      </c>
      <c r="CD102" s="24">
        <f t="shared" si="88"/>
        <v>0</v>
      </c>
      <c r="CE102" s="27">
        <f t="shared" si="48"/>
        <v>0.93272624963579254</v>
      </c>
      <c r="CF102" s="24">
        <f t="shared" si="49"/>
        <v>90937029</v>
      </c>
      <c r="CG102" s="26"/>
      <c r="CH102" s="26"/>
      <c r="CI102" s="26"/>
      <c r="CJ102" s="26"/>
      <c r="CK102" s="26"/>
      <c r="CL102" s="26"/>
      <c r="CM102" s="26"/>
      <c r="CN102" s="26">
        <f>+[2]OCTUBRE!$H$85</f>
        <v>90937029</v>
      </c>
      <c r="CO102" s="26"/>
      <c r="CP102" s="26"/>
      <c r="CQ102" s="26"/>
      <c r="CR102" s="26"/>
      <c r="CS102" s="26"/>
      <c r="CT102" s="26"/>
      <c r="CU102" s="26"/>
      <c r="CV102" s="26"/>
      <c r="CW102" s="26"/>
      <c r="CX102" s="26"/>
      <c r="CY102" s="26"/>
      <c r="CZ102" s="26"/>
      <c r="DA102" s="26"/>
      <c r="DB102" s="26"/>
      <c r="DC102" s="26"/>
      <c r="DD102" s="27">
        <f t="shared" si="59"/>
        <v>6.7273750364207463E-2</v>
      </c>
      <c r="DE102" s="24">
        <f t="shared" si="89"/>
        <v>6558918</v>
      </c>
      <c r="DF102" s="24">
        <f t="shared" si="90"/>
        <v>0</v>
      </c>
      <c r="DG102" s="24">
        <f t="shared" si="90"/>
        <v>0</v>
      </c>
      <c r="DH102" s="24">
        <f t="shared" si="90"/>
        <v>0</v>
      </c>
      <c r="DI102" s="24">
        <f t="shared" si="90"/>
        <v>0</v>
      </c>
      <c r="DJ102" s="24">
        <f t="shared" si="90"/>
        <v>0</v>
      </c>
      <c r="DK102" s="24">
        <f t="shared" si="90"/>
        <v>0</v>
      </c>
      <c r="DL102" s="24">
        <f t="shared" si="90"/>
        <v>0</v>
      </c>
      <c r="DM102" s="24">
        <f t="shared" si="90"/>
        <v>6558918</v>
      </c>
      <c r="DN102" s="24">
        <f t="shared" si="90"/>
        <v>0</v>
      </c>
      <c r="DO102" s="24">
        <f t="shared" si="90"/>
        <v>0</v>
      </c>
      <c r="DP102" s="24">
        <f t="shared" si="90"/>
        <v>0</v>
      </c>
      <c r="DQ102" s="24">
        <f t="shared" si="90"/>
        <v>0</v>
      </c>
      <c r="DR102" s="24">
        <f t="shared" si="90"/>
        <v>0</v>
      </c>
      <c r="DS102" s="24">
        <f t="shared" si="90"/>
        <v>0</v>
      </c>
      <c r="DT102" s="24">
        <f t="shared" si="90"/>
        <v>0</v>
      </c>
      <c r="DU102" s="24">
        <f t="shared" si="90"/>
        <v>0</v>
      </c>
      <c r="DV102" s="24">
        <f t="shared" si="91"/>
        <v>0</v>
      </c>
      <c r="DW102" s="24">
        <f t="shared" si="91"/>
        <v>0</v>
      </c>
      <c r="DX102" s="24">
        <f t="shared" si="91"/>
        <v>0</v>
      </c>
      <c r="DY102" s="24">
        <f t="shared" si="91"/>
        <v>0</v>
      </c>
      <c r="DZ102" s="24">
        <f t="shared" si="91"/>
        <v>0</v>
      </c>
      <c r="EA102" s="24">
        <f t="shared" si="91"/>
        <v>0</v>
      </c>
      <c r="EB102" s="24">
        <f t="shared" si="91"/>
        <v>0</v>
      </c>
      <c r="ED102" s="150"/>
      <c r="EE102" s="45">
        <f t="shared" si="74"/>
        <v>97495947</v>
      </c>
      <c r="EF102" s="45">
        <f t="shared" si="75"/>
        <v>90937029</v>
      </c>
      <c r="EG102" s="159">
        <f t="shared" si="76"/>
        <v>0.93272624963579254</v>
      </c>
    </row>
    <row r="103" spans="1:137" ht="36" hidden="1" customHeight="1" x14ac:dyDescent="0.25">
      <c r="A103" s="208"/>
      <c r="B103" s="259" t="s">
        <v>298</v>
      </c>
      <c r="C103" s="260" t="s">
        <v>299</v>
      </c>
      <c r="D103" s="260" t="s">
        <v>300</v>
      </c>
      <c r="E103" s="260">
        <v>211</v>
      </c>
      <c r="F103" s="261" t="s">
        <v>301</v>
      </c>
      <c r="G103" s="24">
        <f t="shared" si="86"/>
        <v>1166046737</v>
      </c>
      <c r="H103" s="25">
        <f>+'[15]SA 2020 2024'!$F15</f>
        <v>1200000000</v>
      </c>
      <c r="I103" s="25">
        <f t="shared" si="92"/>
        <v>33953263</v>
      </c>
      <c r="J103" s="24">
        <v>300000000</v>
      </c>
      <c r="K103" s="24"/>
      <c r="L103" s="24"/>
      <c r="M103" s="82">
        <v>27498356</v>
      </c>
      <c r="N103" s="24"/>
      <c r="O103" s="24"/>
      <c r="P103" s="24"/>
      <c r="Q103" s="24"/>
      <c r="R103" s="24">
        <f>40000000+252000000-38238622</f>
        <v>253761378</v>
      </c>
      <c r="S103" s="24">
        <f>70000000+115000000-19181368</f>
        <v>165818632</v>
      </c>
      <c r="T103" s="24">
        <f>70000000-5898678</f>
        <v>64101322</v>
      </c>
      <c r="U103" s="24">
        <v>63200802</v>
      </c>
      <c r="V103" s="24">
        <v>37231112</v>
      </c>
      <c r="W103" s="24"/>
      <c r="X103" s="24"/>
      <c r="Y103" s="24"/>
      <c r="Z103" s="24"/>
      <c r="AA103" s="24">
        <v>150000000</v>
      </c>
      <c r="AB103" s="24"/>
      <c r="AC103" s="24"/>
      <c r="AD103" s="24"/>
      <c r="AE103" s="24">
        <v>14435135</v>
      </c>
      <c r="AF103" s="24">
        <f>60000000+20000000+10000000</f>
        <v>90000000</v>
      </c>
      <c r="AG103" s="27">
        <f t="shared" si="58"/>
        <v>0.8992555990489427</v>
      </c>
      <c r="AH103" s="24">
        <f t="shared" si="44"/>
        <v>1048574057</v>
      </c>
      <c r="AI103" s="24">
        <f>+'[10]MAYO 2020'!$J$74</f>
        <v>300000000</v>
      </c>
      <c r="AJ103" s="24"/>
      <c r="AK103" s="24"/>
      <c r="AL103" s="24"/>
      <c r="AM103" s="24"/>
      <c r="AN103" s="24"/>
      <c r="AO103" s="24"/>
      <c r="AP103" s="24"/>
      <c r="AQ103" s="24">
        <f>+[16]AGOSTO!$R$87</f>
        <v>253761378</v>
      </c>
      <c r="AR103" s="24">
        <f>+[8]AGOSTO!$S$87</f>
        <v>146045110</v>
      </c>
      <c r="AS103" s="24">
        <f>+[8]AGOSTO!$T$87</f>
        <v>64101322</v>
      </c>
      <c r="AT103" s="24">
        <f>+[4]JULIO!$U$87</f>
        <v>63000000</v>
      </c>
      <c r="AU103" s="24">
        <f>+[16]AGOSTO!$V$87</f>
        <v>37231112</v>
      </c>
      <c r="AV103" s="24"/>
      <c r="AW103" s="24"/>
      <c r="AX103" s="24"/>
      <c r="AY103" s="24"/>
      <c r="AZ103" s="24">
        <f>+'[10]MAYO 2020'!$AA$74</f>
        <v>150000000</v>
      </c>
      <c r="BA103" s="24"/>
      <c r="BB103" s="24"/>
      <c r="BC103" s="24"/>
      <c r="BD103" s="24">
        <f>+[3]SEPTIEMBRE!$AF$92</f>
        <v>14435135</v>
      </c>
      <c r="BE103" s="26">
        <f>+[3]SEPTIEMBRE!$AG$92</f>
        <v>20000000</v>
      </c>
      <c r="BF103" s="27">
        <f t="shared" si="60"/>
        <v>0.1007444009510573</v>
      </c>
      <c r="BG103" s="24">
        <f t="shared" si="67"/>
        <v>117472680</v>
      </c>
      <c r="BH103" s="24">
        <f t="shared" si="87"/>
        <v>0</v>
      </c>
      <c r="BI103" s="24">
        <f t="shared" si="87"/>
        <v>0</v>
      </c>
      <c r="BJ103" s="24">
        <f t="shared" si="87"/>
        <v>0</v>
      </c>
      <c r="BK103" s="24">
        <f t="shared" si="87"/>
        <v>27498356</v>
      </c>
      <c r="BL103" s="24">
        <f t="shared" si="87"/>
        <v>0</v>
      </c>
      <c r="BM103" s="24">
        <f t="shared" si="87"/>
        <v>0</v>
      </c>
      <c r="BN103" s="24">
        <f t="shared" si="87"/>
        <v>0</v>
      </c>
      <c r="BO103" s="24">
        <f t="shared" si="87"/>
        <v>0</v>
      </c>
      <c r="BP103" s="24">
        <f t="shared" si="87"/>
        <v>0</v>
      </c>
      <c r="BQ103" s="24">
        <f t="shared" si="87"/>
        <v>19773522</v>
      </c>
      <c r="BR103" s="24">
        <f t="shared" si="87"/>
        <v>0</v>
      </c>
      <c r="BS103" s="24">
        <f t="shared" si="87"/>
        <v>200802</v>
      </c>
      <c r="BT103" s="24">
        <f t="shared" si="87"/>
        <v>0</v>
      </c>
      <c r="BU103" s="24">
        <f t="shared" si="87"/>
        <v>0</v>
      </c>
      <c r="BV103" s="24">
        <f t="shared" si="87"/>
        <v>0</v>
      </c>
      <c r="BW103" s="24">
        <f t="shared" si="87"/>
        <v>0</v>
      </c>
      <c r="BX103" s="24">
        <f t="shared" si="88"/>
        <v>0</v>
      </c>
      <c r="BY103" s="24">
        <f t="shared" si="88"/>
        <v>0</v>
      </c>
      <c r="BZ103" s="24">
        <f t="shared" si="88"/>
        <v>0</v>
      </c>
      <c r="CA103" s="24">
        <f t="shared" si="88"/>
        <v>0</v>
      </c>
      <c r="CB103" s="24">
        <f t="shared" si="88"/>
        <v>0</v>
      </c>
      <c r="CC103" s="24">
        <f t="shared" si="88"/>
        <v>0</v>
      </c>
      <c r="CD103" s="24">
        <f t="shared" si="88"/>
        <v>70000000</v>
      </c>
      <c r="CE103" s="27">
        <f t="shared" si="48"/>
        <v>0.78160991843674277</v>
      </c>
      <c r="CF103" s="24">
        <f t="shared" si="49"/>
        <v>911393695</v>
      </c>
      <c r="CG103" s="24">
        <f>+[4]JULIO!$H$90</f>
        <v>300000000</v>
      </c>
      <c r="CH103" s="24"/>
      <c r="CI103" s="24"/>
      <c r="CJ103" s="24"/>
      <c r="CK103" s="24"/>
      <c r="CL103" s="24"/>
      <c r="CM103" s="24"/>
      <c r="CN103" s="24"/>
      <c r="CO103" s="24">
        <f>+[2]OCTUBRE!$H$114</f>
        <v>241881557</v>
      </c>
      <c r="CP103" s="24">
        <f>+[2]OCTUBRE!$H$120</f>
        <v>144039174</v>
      </c>
      <c r="CQ103" s="24">
        <f>+[2]OCTUBRE!$H$118</f>
        <v>53103368</v>
      </c>
      <c r="CR103" s="24">
        <f>+[8]AGOSTO!$H$96</f>
        <v>62934552</v>
      </c>
      <c r="CS103" s="24"/>
      <c r="CT103" s="24"/>
      <c r="CU103" s="24"/>
      <c r="CV103" s="24"/>
      <c r="CW103" s="24"/>
      <c r="CX103" s="24">
        <f>+[2]OCTUBRE!$H$107</f>
        <v>93306044</v>
      </c>
      <c r="CY103" s="24"/>
      <c r="CZ103" s="24"/>
      <c r="DA103" s="24"/>
      <c r="DB103" s="24"/>
      <c r="DC103" s="24">
        <f>+[2]OCTUBRE!$H$122</f>
        <v>16129000</v>
      </c>
      <c r="DD103" s="27">
        <f t="shared" si="59"/>
        <v>0.21839008156325723</v>
      </c>
      <c r="DE103" s="24">
        <f t="shared" si="89"/>
        <v>254653042</v>
      </c>
      <c r="DF103" s="24">
        <f t="shared" si="90"/>
        <v>0</v>
      </c>
      <c r="DG103" s="24">
        <f t="shared" si="90"/>
        <v>0</v>
      </c>
      <c r="DH103" s="24">
        <f t="shared" si="90"/>
        <v>0</v>
      </c>
      <c r="DI103" s="24">
        <f t="shared" si="90"/>
        <v>27498356</v>
      </c>
      <c r="DJ103" s="24">
        <f t="shared" si="90"/>
        <v>0</v>
      </c>
      <c r="DK103" s="24">
        <f t="shared" si="90"/>
        <v>0</v>
      </c>
      <c r="DL103" s="24">
        <f t="shared" si="90"/>
        <v>0</v>
      </c>
      <c r="DM103" s="24">
        <f t="shared" si="90"/>
        <v>0</v>
      </c>
      <c r="DN103" s="24">
        <f t="shared" si="90"/>
        <v>11879821</v>
      </c>
      <c r="DO103" s="24">
        <f t="shared" si="90"/>
        <v>21779458</v>
      </c>
      <c r="DP103" s="24">
        <f t="shared" si="90"/>
        <v>10997954</v>
      </c>
      <c r="DQ103" s="24">
        <f t="shared" si="90"/>
        <v>266250</v>
      </c>
      <c r="DR103" s="24">
        <f t="shared" si="90"/>
        <v>37231112</v>
      </c>
      <c r="DS103" s="24">
        <f t="shared" si="90"/>
        <v>0</v>
      </c>
      <c r="DT103" s="24">
        <f t="shared" si="90"/>
        <v>0</v>
      </c>
      <c r="DU103" s="24">
        <f t="shared" si="90"/>
        <v>0</v>
      </c>
      <c r="DV103" s="24">
        <f t="shared" si="91"/>
        <v>0</v>
      </c>
      <c r="DW103" s="24">
        <f t="shared" si="91"/>
        <v>56693956</v>
      </c>
      <c r="DX103" s="24">
        <f t="shared" si="91"/>
        <v>0</v>
      </c>
      <c r="DY103" s="24">
        <f t="shared" si="91"/>
        <v>0</v>
      </c>
      <c r="DZ103" s="24">
        <f t="shared" si="91"/>
        <v>0</v>
      </c>
      <c r="EA103" s="24">
        <f t="shared" si="91"/>
        <v>14435135</v>
      </c>
      <c r="EB103" s="24">
        <f t="shared" si="91"/>
        <v>73871000</v>
      </c>
      <c r="ED103" s="150"/>
      <c r="EE103" s="45">
        <f t="shared" si="74"/>
        <v>1166046737</v>
      </c>
      <c r="EF103" s="45">
        <f t="shared" si="75"/>
        <v>911393695</v>
      </c>
      <c r="EG103" s="159">
        <f t="shared" si="76"/>
        <v>0.78160991843674277</v>
      </c>
    </row>
    <row r="104" spans="1:137" ht="29.45" hidden="1" customHeight="1" x14ac:dyDescent="0.25">
      <c r="A104" s="208"/>
      <c r="B104" s="259"/>
      <c r="C104" s="260" t="s">
        <v>302</v>
      </c>
      <c r="D104" s="260" t="s">
        <v>303</v>
      </c>
      <c r="E104" s="260">
        <v>211</v>
      </c>
      <c r="F104" s="261" t="s">
        <v>304</v>
      </c>
      <c r="G104" s="24">
        <f t="shared" si="86"/>
        <v>38000000</v>
      </c>
      <c r="H104" s="25">
        <f>+'[15]SA 2020 2024'!$F16</f>
        <v>600000000</v>
      </c>
      <c r="I104" s="25">
        <f t="shared" si="92"/>
        <v>562000000</v>
      </c>
      <c r="J104" s="47"/>
      <c r="K104" s="24"/>
      <c r="L104" s="24"/>
      <c r="M104" s="24"/>
      <c r="N104" s="24"/>
      <c r="O104" s="24"/>
      <c r="P104" s="24"/>
      <c r="Q104" s="24"/>
      <c r="R104" s="24">
        <v>10000000</v>
      </c>
      <c r="S104" s="24">
        <v>10000000</v>
      </c>
      <c r="T104" s="24">
        <v>10000000</v>
      </c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>
        <f>8000000</f>
        <v>8000000</v>
      </c>
      <c r="AG104" s="27">
        <f t="shared" si="58"/>
        <v>0</v>
      </c>
      <c r="AH104" s="24">
        <f t="shared" si="44"/>
        <v>0</v>
      </c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7">
        <f t="shared" si="60"/>
        <v>1</v>
      </c>
      <c r="BG104" s="24">
        <f t="shared" si="67"/>
        <v>38000000</v>
      </c>
      <c r="BH104" s="24">
        <f t="shared" si="87"/>
        <v>0</v>
      </c>
      <c r="BI104" s="24">
        <f t="shared" si="87"/>
        <v>0</v>
      </c>
      <c r="BJ104" s="24">
        <f t="shared" si="87"/>
        <v>0</v>
      </c>
      <c r="BK104" s="24">
        <f t="shared" si="87"/>
        <v>0</v>
      </c>
      <c r="BL104" s="24">
        <f t="shared" si="87"/>
        <v>0</v>
      </c>
      <c r="BM104" s="24">
        <f t="shared" si="87"/>
        <v>0</v>
      </c>
      <c r="BN104" s="24">
        <f t="shared" si="87"/>
        <v>0</v>
      </c>
      <c r="BO104" s="24">
        <f t="shared" si="87"/>
        <v>0</v>
      </c>
      <c r="BP104" s="24">
        <f t="shared" si="87"/>
        <v>10000000</v>
      </c>
      <c r="BQ104" s="24">
        <f t="shared" si="87"/>
        <v>10000000</v>
      </c>
      <c r="BR104" s="24">
        <f t="shared" si="87"/>
        <v>10000000</v>
      </c>
      <c r="BS104" s="24">
        <f t="shared" si="87"/>
        <v>0</v>
      </c>
      <c r="BT104" s="24">
        <f t="shared" si="87"/>
        <v>0</v>
      </c>
      <c r="BU104" s="24">
        <f t="shared" si="87"/>
        <v>0</v>
      </c>
      <c r="BV104" s="24">
        <f t="shared" si="87"/>
        <v>0</v>
      </c>
      <c r="BW104" s="24">
        <f t="shared" si="87"/>
        <v>0</v>
      </c>
      <c r="BX104" s="24">
        <f t="shared" si="88"/>
        <v>0</v>
      </c>
      <c r="BY104" s="24">
        <f t="shared" si="88"/>
        <v>0</v>
      </c>
      <c r="BZ104" s="24">
        <f t="shared" si="88"/>
        <v>0</v>
      </c>
      <c r="CA104" s="24">
        <f t="shared" si="88"/>
        <v>0</v>
      </c>
      <c r="CB104" s="24">
        <f t="shared" si="88"/>
        <v>0</v>
      </c>
      <c r="CC104" s="24">
        <f t="shared" si="88"/>
        <v>0</v>
      </c>
      <c r="CD104" s="24">
        <f t="shared" si="88"/>
        <v>8000000</v>
      </c>
      <c r="CE104" s="27">
        <f t="shared" si="48"/>
        <v>0</v>
      </c>
      <c r="CF104" s="24">
        <f t="shared" si="49"/>
        <v>0</v>
      </c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7">
        <f t="shared" si="59"/>
        <v>1</v>
      </c>
      <c r="DE104" s="24">
        <f t="shared" si="89"/>
        <v>38000000</v>
      </c>
      <c r="DF104" s="24">
        <f t="shared" si="90"/>
        <v>0</v>
      </c>
      <c r="DG104" s="24">
        <f t="shared" si="90"/>
        <v>0</v>
      </c>
      <c r="DH104" s="24">
        <f t="shared" si="90"/>
        <v>0</v>
      </c>
      <c r="DI104" s="24">
        <f t="shared" si="90"/>
        <v>0</v>
      </c>
      <c r="DJ104" s="24">
        <f t="shared" si="90"/>
        <v>0</v>
      </c>
      <c r="DK104" s="24">
        <f t="shared" si="90"/>
        <v>0</v>
      </c>
      <c r="DL104" s="24">
        <f t="shared" si="90"/>
        <v>0</v>
      </c>
      <c r="DM104" s="24">
        <f t="shared" si="90"/>
        <v>0</v>
      </c>
      <c r="DN104" s="24">
        <f t="shared" si="90"/>
        <v>10000000</v>
      </c>
      <c r="DO104" s="24">
        <f t="shared" si="90"/>
        <v>10000000</v>
      </c>
      <c r="DP104" s="24">
        <f t="shared" si="90"/>
        <v>10000000</v>
      </c>
      <c r="DQ104" s="24">
        <f t="shared" si="90"/>
        <v>0</v>
      </c>
      <c r="DR104" s="24">
        <f t="shared" si="90"/>
        <v>0</v>
      </c>
      <c r="DS104" s="24">
        <f t="shared" si="90"/>
        <v>0</v>
      </c>
      <c r="DT104" s="24">
        <f t="shared" si="90"/>
        <v>0</v>
      </c>
      <c r="DU104" s="24">
        <f t="shared" si="90"/>
        <v>0</v>
      </c>
      <c r="DV104" s="24">
        <f t="shared" si="91"/>
        <v>0</v>
      </c>
      <c r="DW104" s="24">
        <f t="shared" si="91"/>
        <v>0</v>
      </c>
      <c r="DX104" s="24">
        <f t="shared" si="91"/>
        <v>0</v>
      </c>
      <c r="DY104" s="24">
        <f t="shared" si="91"/>
        <v>0</v>
      </c>
      <c r="DZ104" s="24">
        <f t="shared" si="91"/>
        <v>0</v>
      </c>
      <c r="EA104" s="24">
        <f t="shared" si="91"/>
        <v>0</v>
      </c>
      <c r="EB104" s="24">
        <f t="shared" si="91"/>
        <v>8000000</v>
      </c>
      <c r="ED104" s="150"/>
      <c r="EE104" s="45">
        <f t="shared" si="74"/>
        <v>38000000</v>
      </c>
      <c r="EF104" s="45">
        <f t="shared" si="75"/>
        <v>0</v>
      </c>
      <c r="EG104" s="159">
        <f t="shared" si="76"/>
        <v>0</v>
      </c>
    </row>
    <row r="105" spans="1:137" ht="30" hidden="1" customHeight="1" x14ac:dyDescent="0.25">
      <c r="A105" s="208"/>
      <c r="B105" s="259"/>
      <c r="C105" s="260" t="s">
        <v>305</v>
      </c>
      <c r="D105" s="260" t="s">
        <v>306</v>
      </c>
      <c r="E105" s="260">
        <v>211</v>
      </c>
      <c r="F105" s="261" t="s">
        <v>240</v>
      </c>
      <c r="G105" s="24">
        <f t="shared" si="86"/>
        <v>363318668</v>
      </c>
      <c r="H105" s="25">
        <f>+'[15]SA 2020 2024'!$F17</f>
        <v>300000000</v>
      </c>
      <c r="I105" s="25">
        <f t="shared" si="92"/>
        <v>-63318668</v>
      </c>
      <c r="J105" s="47"/>
      <c r="K105" s="24"/>
      <c r="L105" s="24"/>
      <c r="M105" s="24"/>
      <c r="N105" s="24"/>
      <c r="O105" s="24"/>
      <c r="P105" s="24"/>
      <c r="Q105" s="24"/>
      <c r="R105" s="24">
        <v>38238622</v>
      </c>
      <c r="S105" s="24">
        <f>19181368</f>
        <v>19181368</v>
      </c>
      <c r="T105" s="24">
        <v>5898678</v>
      </c>
      <c r="U105" s="24">
        <v>300000000</v>
      </c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>
        <v>0</v>
      </c>
      <c r="AG105" s="27">
        <f t="shared" si="58"/>
        <v>0.17427859501015236</v>
      </c>
      <c r="AH105" s="24">
        <f t="shared" si="44"/>
        <v>63318667</v>
      </c>
      <c r="AI105" s="24"/>
      <c r="AJ105" s="24"/>
      <c r="AK105" s="24"/>
      <c r="AL105" s="24"/>
      <c r="AM105" s="24"/>
      <c r="AN105" s="24"/>
      <c r="AO105" s="24"/>
      <c r="AP105" s="24"/>
      <c r="AQ105" s="24">
        <f>+[8]AGOSTO!$R$118</f>
        <v>38238621</v>
      </c>
      <c r="AR105" s="24">
        <f>+[8]AGOSTO!$S$118</f>
        <v>19181368</v>
      </c>
      <c r="AS105" s="24">
        <f>+[8]AGOSTO!$T$118</f>
        <v>5898678</v>
      </c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7">
        <f t="shared" si="60"/>
        <v>0.82572140498984758</v>
      </c>
      <c r="BG105" s="24">
        <f t="shared" si="67"/>
        <v>300000001</v>
      </c>
      <c r="BH105" s="24">
        <f t="shared" si="87"/>
        <v>0</v>
      </c>
      <c r="BI105" s="24">
        <f t="shared" si="87"/>
        <v>0</v>
      </c>
      <c r="BJ105" s="24">
        <f t="shared" si="87"/>
        <v>0</v>
      </c>
      <c r="BK105" s="24">
        <f t="shared" si="87"/>
        <v>0</v>
      </c>
      <c r="BL105" s="24">
        <f t="shared" si="87"/>
        <v>0</v>
      </c>
      <c r="BM105" s="24">
        <f t="shared" si="87"/>
        <v>0</v>
      </c>
      <c r="BN105" s="24">
        <f t="shared" si="87"/>
        <v>0</v>
      </c>
      <c r="BO105" s="24">
        <f t="shared" si="87"/>
        <v>0</v>
      </c>
      <c r="BP105" s="24">
        <f t="shared" si="87"/>
        <v>1</v>
      </c>
      <c r="BQ105" s="24">
        <f t="shared" si="87"/>
        <v>0</v>
      </c>
      <c r="BR105" s="24">
        <f t="shared" si="87"/>
        <v>0</v>
      </c>
      <c r="BS105" s="24">
        <f t="shared" si="87"/>
        <v>300000000</v>
      </c>
      <c r="BT105" s="24">
        <f t="shared" si="87"/>
        <v>0</v>
      </c>
      <c r="BU105" s="24">
        <f t="shared" si="87"/>
        <v>0</v>
      </c>
      <c r="BV105" s="24">
        <f t="shared" si="87"/>
        <v>0</v>
      </c>
      <c r="BW105" s="24">
        <f t="shared" si="87"/>
        <v>0</v>
      </c>
      <c r="BX105" s="24">
        <f t="shared" si="88"/>
        <v>0</v>
      </c>
      <c r="BY105" s="24">
        <f t="shared" si="88"/>
        <v>0</v>
      </c>
      <c r="BZ105" s="24">
        <f t="shared" si="88"/>
        <v>0</v>
      </c>
      <c r="CA105" s="24">
        <f t="shared" si="88"/>
        <v>0</v>
      </c>
      <c r="CB105" s="24">
        <f t="shared" si="88"/>
        <v>0</v>
      </c>
      <c r="CC105" s="24">
        <f t="shared" si="88"/>
        <v>0</v>
      </c>
      <c r="CD105" s="24">
        <f t="shared" si="88"/>
        <v>0</v>
      </c>
      <c r="CE105" s="27">
        <f t="shared" si="48"/>
        <v>0.17374635701350749</v>
      </c>
      <c r="CF105" s="24">
        <f t="shared" si="49"/>
        <v>63125295</v>
      </c>
      <c r="CG105" s="24"/>
      <c r="CH105" s="24"/>
      <c r="CI105" s="24"/>
      <c r="CJ105" s="24"/>
      <c r="CK105" s="24"/>
      <c r="CL105" s="24"/>
      <c r="CM105" s="24"/>
      <c r="CN105" s="24"/>
      <c r="CO105" s="24">
        <f>+[2]OCTUBRE!$H$148</f>
        <v>38238621</v>
      </c>
      <c r="CP105" s="24">
        <f>+[2]OCTUBRE!$H$146</f>
        <v>18987996</v>
      </c>
      <c r="CQ105" s="24">
        <f>+[2]OCTUBRE!$H$144</f>
        <v>5898678</v>
      </c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7">
        <f t="shared" si="59"/>
        <v>0.82625364298649251</v>
      </c>
      <c r="DE105" s="24">
        <f t="shared" si="89"/>
        <v>300193373</v>
      </c>
      <c r="DF105" s="24">
        <f t="shared" si="90"/>
        <v>0</v>
      </c>
      <c r="DG105" s="24">
        <f t="shared" si="90"/>
        <v>0</v>
      </c>
      <c r="DH105" s="24">
        <f t="shared" si="90"/>
        <v>0</v>
      </c>
      <c r="DI105" s="24">
        <f t="shared" si="90"/>
        <v>0</v>
      </c>
      <c r="DJ105" s="24">
        <f t="shared" si="90"/>
        <v>0</v>
      </c>
      <c r="DK105" s="24">
        <f t="shared" si="90"/>
        <v>0</v>
      </c>
      <c r="DL105" s="24">
        <f t="shared" si="90"/>
        <v>0</v>
      </c>
      <c r="DM105" s="24">
        <f t="shared" si="90"/>
        <v>0</v>
      </c>
      <c r="DN105" s="24">
        <f t="shared" si="90"/>
        <v>1</v>
      </c>
      <c r="DO105" s="24">
        <f t="shared" si="90"/>
        <v>193372</v>
      </c>
      <c r="DP105" s="24">
        <f t="shared" si="90"/>
        <v>0</v>
      </c>
      <c r="DQ105" s="24">
        <f t="shared" si="90"/>
        <v>300000000</v>
      </c>
      <c r="DR105" s="24">
        <f t="shared" si="90"/>
        <v>0</v>
      </c>
      <c r="DS105" s="24">
        <f t="shared" si="90"/>
        <v>0</v>
      </c>
      <c r="DT105" s="24">
        <f t="shared" si="90"/>
        <v>0</v>
      </c>
      <c r="DU105" s="24">
        <f t="shared" si="90"/>
        <v>0</v>
      </c>
      <c r="DV105" s="24">
        <f t="shared" si="91"/>
        <v>0</v>
      </c>
      <c r="DW105" s="24">
        <f t="shared" si="91"/>
        <v>0</v>
      </c>
      <c r="DX105" s="24">
        <f t="shared" si="91"/>
        <v>0</v>
      </c>
      <c r="DY105" s="24">
        <f t="shared" si="91"/>
        <v>0</v>
      </c>
      <c r="DZ105" s="24">
        <f t="shared" si="91"/>
        <v>0</v>
      </c>
      <c r="EA105" s="24">
        <f t="shared" si="91"/>
        <v>0</v>
      </c>
      <c r="EB105" s="24">
        <f t="shared" si="91"/>
        <v>0</v>
      </c>
      <c r="ED105" s="154" t="s">
        <v>384</v>
      </c>
      <c r="EE105" s="45">
        <f t="shared" si="74"/>
        <v>363318668</v>
      </c>
      <c r="EF105" s="45">
        <f t="shared" si="75"/>
        <v>63125295</v>
      </c>
      <c r="EG105" s="159">
        <f t="shared" si="76"/>
        <v>0.17374635701350749</v>
      </c>
    </row>
    <row r="106" spans="1:137" ht="28.15" hidden="1" customHeight="1" x14ac:dyDescent="0.25">
      <c r="A106" s="55"/>
      <c r="B106" s="259"/>
      <c r="C106" s="260" t="s">
        <v>307</v>
      </c>
      <c r="D106" s="260" t="s">
        <v>308</v>
      </c>
      <c r="E106" s="260">
        <v>211</v>
      </c>
      <c r="F106" s="261" t="s">
        <v>240</v>
      </c>
      <c r="G106" s="24">
        <f t="shared" si="86"/>
        <v>193016064</v>
      </c>
      <c r="H106" s="25">
        <f>+'[15]SA 2020 2024'!$F18</f>
        <v>1250000000</v>
      </c>
      <c r="I106" s="25">
        <f t="shared" si="92"/>
        <v>1056983936</v>
      </c>
      <c r="J106" s="24">
        <v>100000000</v>
      </c>
      <c r="K106" s="24"/>
      <c r="L106" s="24"/>
      <c r="M106" s="24"/>
      <c r="N106" s="24"/>
      <c r="O106" s="26">
        <v>1000000</v>
      </c>
      <c r="P106" s="26"/>
      <c r="Q106" s="26">
        <f>74177964-8115800+25953900</f>
        <v>92016064</v>
      </c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>
        <v>0</v>
      </c>
      <c r="AG106" s="27">
        <f t="shared" si="58"/>
        <v>0.81760751789032438</v>
      </c>
      <c r="AH106" s="24">
        <f t="shared" si="44"/>
        <v>157811385</v>
      </c>
      <c r="AI106" s="24">
        <f>+[2]OCTUBRE!$J$153</f>
        <v>92206183</v>
      </c>
      <c r="AJ106" s="24"/>
      <c r="AK106" s="24"/>
      <c r="AL106" s="24"/>
      <c r="AM106" s="24"/>
      <c r="AN106" s="24"/>
      <c r="AO106" s="24"/>
      <c r="AP106" s="24">
        <f>+[2]OCTUBRE!$Q$153</f>
        <v>65605202</v>
      </c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7">
        <f t="shared" si="60"/>
        <v>0.18239248210967562</v>
      </c>
      <c r="BG106" s="24">
        <f t="shared" si="67"/>
        <v>35204679</v>
      </c>
      <c r="BH106" s="24">
        <f t="shared" si="87"/>
        <v>7793817</v>
      </c>
      <c r="BI106" s="24">
        <f t="shared" si="87"/>
        <v>0</v>
      </c>
      <c r="BJ106" s="24">
        <f t="shared" si="87"/>
        <v>0</v>
      </c>
      <c r="BK106" s="24">
        <f t="shared" si="87"/>
        <v>0</v>
      </c>
      <c r="BL106" s="24">
        <f t="shared" si="87"/>
        <v>0</v>
      </c>
      <c r="BM106" s="24">
        <f t="shared" si="87"/>
        <v>1000000</v>
      </c>
      <c r="BN106" s="24">
        <f t="shared" si="87"/>
        <v>0</v>
      </c>
      <c r="BO106" s="24">
        <f t="shared" si="87"/>
        <v>26410862</v>
      </c>
      <c r="BP106" s="24">
        <f t="shared" si="87"/>
        <v>0</v>
      </c>
      <c r="BQ106" s="24">
        <f t="shared" si="87"/>
        <v>0</v>
      </c>
      <c r="BR106" s="24">
        <f t="shared" si="87"/>
        <v>0</v>
      </c>
      <c r="BS106" s="24">
        <f t="shared" si="87"/>
        <v>0</v>
      </c>
      <c r="BT106" s="24">
        <f t="shared" si="87"/>
        <v>0</v>
      </c>
      <c r="BU106" s="24">
        <f t="shared" si="87"/>
        <v>0</v>
      </c>
      <c r="BV106" s="24">
        <f t="shared" si="87"/>
        <v>0</v>
      </c>
      <c r="BW106" s="24">
        <f t="shared" si="87"/>
        <v>0</v>
      </c>
      <c r="BX106" s="24">
        <f t="shared" si="88"/>
        <v>0</v>
      </c>
      <c r="BY106" s="24">
        <f t="shared" si="88"/>
        <v>0</v>
      </c>
      <c r="BZ106" s="24">
        <f t="shared" si="88"/>
        <v>0</v>
      </c>
      <c r="CA106" s="24">
        <f t="shared" si="88"/>
        <v>0</v>
      </c>
      <c r="CB106" s="24">
        <f t="shared" si="88"/>
        <v>0</v>
      </c>
      <c r="CC106" s="24">
        <f t="shared" si="88"/>
        <v>0</v>
      </c>
      <c r="CD106" s="24">
        <f t="shared" si="88"/>
        <v>0</v>
      </c>
      <c r="CE106" s="27">
        <f t="shared" si="48"/>
        <v>0.34615140116006093</v>
      </c>
      <c r="CF106" s="24">
        <f t="shared" si="49"/>
        <v>66812781</v>
      </c>
      <c r="CG106" s="24">
        <f>+[2]OCTUBRE!$H$156+[2]OCTUBRE!$H$158+[2]OCTUBRE!$H$160+[2]OCTUBRE!$H$163</f>
        <v>66812781</v>
      </c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7">
        <f t="shared" si="59"/>
        <v>0.65384859883993907</v>
      </c>
      <c r="DE106" s="24">
        <f t="shared" si="89"/>
        <v>126203283</v>
      </c>
      <c r="DF106" s="24">
        <f t="shared" si="90"/>
        <v>33187219</v>
      </c>
      <c r="DG106" s="24">
        <f t="shared" si="90"/>
        <v>0</v>
      </c>
      <c r="DH106" s="24">
        <f t="shared" si="90"/>
        <v>0</v>
      </c>
      <c r="DI106" s="24">
        <f t="shared" si="90"/>
        <v>0</v>
      </c>
      <c r="DJ106" s="24">
        <f t="shared" si="90"/>
        <v>0</v>
      </c>
      <c r="DK106" s="24">
        <f t="shared" si="90"/>
        <v>1000000</v>
      </c>
      <c r="DL106" s="24">
        <f t="shared" si="90"/>
        <v>0</v>
      </c>
      <c r="DM106" s="24">
        <f t="shared" si="90"/>
        <v>92016064</v>
      </c>
      <c r="DN106" s="24">
        <f t="shared" si="90"/>
        <v>0</v>
      </c>
      <c r="DO106" s="24">
        <f t="shared" si="90"/>
        <v>0</v>
      </c>
      <c r="DP106" s="24">
        <f t="shared" si="90"/>
        <v>0</v>
      </c>
      <c r="DQ106" s="24">
        <f t="shared" si="90"/>
        <v>0</v>
      </c>
      <c r="DR106" s="24">
        <f t="shared" si="90"/>
        <v>0</v>
      </c>
      <c r="DS106" s="24">
        <f t="shared" si="90"/>
        <v>0</v>
      </c>
      <c r="DT106" s="24">
        <f t="shared" si="90"/>
        <v>0</v>
      </c>
      <c r="DU106" s="24">
        <f t="shared" si="90"/>
        <v>0</v>
      </c>
      <c r="DV106" s="24">
        <f t="shared" si="91"/>
        <v>0</v>
      </c>
      <c r="DW106" s="24">
        <f t="shared" si="91"/>
        <v>0</v>
      </c>
      <c r="DX106" s="24">
        <f t="shared" si="91"/>
        <v>0</v>
      </c>
      <c r="DY106" s="24">
        <f t="shared" si="91"/>
        <v>0</v>
      </c>
      <c r="DZ106" s="24">
        <f t="shared" si="91"/>
        <v>0</v>
      </c>
      <c r="EA106" s="24">
        <f t="shared" si="91"/>
        <v>0</v>
      </c>
      <c r="EB106" s="24">
        <f t="shared" si="91"/>
        <v>0</v>
      </c>
      <c r="ED106" s="154" t="s">
        <v>384</v>
      </c>
      <c r="EE106" s="45">
        <f t="shared" si="74"/>
        <v>193016064</v>
      </c>
      <c r="EF106" s="45">
        <f t="shared" si="75"/>
        <v>66812781</v>
      </c>
      <c r="EG106" s="159">
        <f t="shared" si="76"/>
        <v>0.34615140116006093</v>
      </c>
    </row>
    <row r="107" spans="1:137" ht="30" hidden="1" customHeight="1" x14ac:dyDescent="0.25">
      <c r="A107" s="55"/>
      <c r="B107" s="259"/>
      <c r="C107" s="260" t="s">
        <v>309</v>
      </c>
      <c r="D107" s="260" t="s">
        <v>310</v>
      </c>
      <c r="E107" s="260">
        <v>211</v>
      </c>
      <c r="F107" s="261" t="s">
        <v>240</v>
      </c>
      <c r="G107" s="24">
        <f t="shared" si="86"/>
        <v>0</v>
      </c>
      <c r="H107" s="25">
        <f>+'[15]SA 2020 2024'!$F19</f>
        <v>255000000</v>
      </c>
      <c r="I107" s="25">
        <f t="shared" si="92"/>
        <v>255000000</v>
      </c>
      <c r="J107" s="47"/>
      <c r="K107" s="24"/>
      <c r="L107" s="24"/>
      <c r="M107" s="24"/>
      <c r="N107" s="24"/>
      <c r="O107" s="26">
        <f>1000000-1000000</f>
        <v>0</v>
      </c>
      <c r="P107" s="26"/>
      <c r="Q107" s="26">
        <f>25953900-25953900</f>
        <v>0</v>
      </c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>
        <v>0</v>
      </c>
      <c r="AG107" s="27" t="e">
        <f t="shared" si="58"/>
        <v>#DIV/0!</v>
      </c>
      <c r="AH107" s="24">
        <f t="shared" si="44"/>
        <v>0</v>
      </c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7" t="e">
        <f t="shared" si="60"/>
        <v>#DIV/0!</v>
      </c>
      <c r="BG107" s="24">
        <f t="shared" si="67"/>
        <v>0</v>
      </c>
      <c r="BH107" s="24">
        <f t="shared" si="87"/>
        <v>0</v>
      </c>
      <c r="BI107" s="24">
        <f t="shared" si="87"/>
        <v>0</v>
      </c>
      <c r="BJ107" s="24">
        <f t="shared" si="87"/>
        <v>0</v>
      </c>
      <c r="BK107" s="24">
        <f t="shared" si="87"/>
        <v>0</v>
      </c>
      <c r="BL107" s="24">
        <f t="shared" si="87"/>
        <v>0</v>
      </c>
      <c r="BM107" s="24">
        <f t="shared" si="87"/>
        <v>0</v>
      </c>
      <c r="BN107" s="24">
        <f t="shared" si="87"/>
        <v>0</v>
      </c>
      <c r="BO107" s="24">
        <f t="shared" si="87"/>
        <v>0</v>
      </c>
      <c r="BP107" s="24">
        <f t="shared" si="87"/>
        <v>0</v>
      </c>
      <c r="BQ107" s="24">
        <f t="shared" si="87"/>
        <v>0</v>
      </c>
      <c r="BR107" s="24">
        <f t="shared" si="87"/>
        <v>0</v>
      </c>
      <c r="BS107" s="24">
        <f t="shared" si="87"/>
        <v>0</v>
      </c>
      <c r="BT107" s="24">
        <f t="shared" si="87"/>
        <v>0</v>
      </c>
      <c r="BU107" s="24">
        <f t="shared" si="87"/>
        <v>0</v>
      </c>
      <c r="BV107" s="24">
        <f t="shared" si="87"/>
        <v>0</v>
      </c>
      <c r="BW107" s="24">
        <f t="shared" si="87"/>
        <v>0</v>
      </c>
      <c r="BX107" s="24">
        <f t="shared" si="88"/>
        <v>0</v>
      </c>
      <c r="BY107" s="24">
        <f t="shared" si="88"/>
        <v>0</v>
      </c>
      <c r="BZ107" s="24">
        <f t="shared" si="88"/>
        <v>0</v>
      </c>
      <c r="CA107" s="24">
        <f t="shared" si="88"/>
        <v>0</v>
      </c>
      <c r="CB107" s="24">
        <f t="shared" si="88"/>
        <v>0</v>
      </c>
      <c r="CC107" s="24">
        <f t="shared" si="88"/>
        <v>0</v>
      </c>
      <c r="CD107" s="24">
        <f t="shared" si="88"/>
        <v>0</v>
      </c>
      <c r="CE107" s="27" t="e">
        <f t="shared" si="48"/>
        <v>#DIV/0!</v>
      </c>
      <c r="CF107" s="24">
        <f t="shared" si="49"/>
        <v>0</v>
      </c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7" t="e">
        <f t="shared" si="59"/>
        <v>#DIV/0!</v>
      </c>
      <c r="DE107" s="24">
        <f t="shared" si="89"/>
        <v>0</v>
      </c>
      <c r="DF107" s="24">
        <f t="shared" si="90"/>
        <v>0</v>
      </c>
      <c r="DG107" s="24">
        <f t="shared" si="90"/>
        <v>0</v>
      </c>
      <c r="DH107" s="24">
        <f t="shared" si="90"/>
        <v>0</v>
      </c>
      <c r="DI107" s="24">
        <f t="shared" si="90"/>
        <v>0</v>
      </c>
      <c r="DJ107" s="24">
        <f t="shared" si="90"/>
        <v>0</v>
      </c>
      <c r="DK107" s="24">
        <f t="shared" si="90"/>
        <v>0</v>
      </c>
      <c r="DL107" s="24">
        <f t="shared" si="90"/>
        <v>0</v>
      </c>
      <c r="DM107" s="24">
        <f t="shared" si="90"/>
        <v>0</v>
      </c>
      <c r="DN107" s="24">
        <f t="shared" si="90"/>
        <v>0</v>
      </c>
      <c r="DO107" s="24">
        <f t="shared" si="90"/>
        <v>0</v>
      </c>
      <c r="DP107" s="24">
        <f t="shared" si="90"/>
        <v>0</v>
      </c>
      <c r="DQ107" s="24">
        <f t="shared" si="90"/>
        <v>0</v>
      </c>
      <c r="DR107" s="24">
        <f t="shared" si="90"/>
        <v>0</v>
      </c>
      <c r="DS107" s="24">
        <f t="shared" si="90"/>
        <v>0</v>
      </c>
      <c r="DT107" s="24">
        <f t="shared" si="90"/>
        <v>0</v>
      </c>
      <c r="DU107" s="24">
        <f t="shared" si="90"/>
        <v>0</v>
      </c>
      <c r="DV107" s="24">
        <f t="shared" si="91"/>
        <v>0</v>
      </c>
      <c r="DW107" s="24">
        <f t="shared" si="91"/>
        <v>0</v>
      </c>
      <c r="DX107" s="24">
        <f t="shared" si="91"/>
        <v>0</v>
      </c>
      <c r="DY107" s="24">
        <f t="shared" si="91"/>
        <v>0</v>
      </c>
      <c r="DZ107" s="24">
        <f t="shared" si="91"/>
        <v>0</v>
      </c>
      <c r="EA107" s="24">
        <f t="shared" si="91"/>
        <v>0</v>
      </c>
      <c r="EB107" s="24">
        <f t="shared" si="91"/>
        <v>0</v>
      </c>
      <c r="ED107" s="150"/>
      <c r="EE107" s="45">
        <f t="shared" si="74"/>
        <v>0</v>
      </c>
      <c r="EF107" s="45">
        <f t="shared" si="75"/>
        <v>0</v>
      </c>
      <c r="EG107" s="159" t="e">
        <f t="shared" si="76"/>
        <v>#DIV/0!</v>
      </c>
    </row>
    <row r="108" spans="1:137" ht="30.6" hidden="1" customHeight="1" x14ac:dyDescent="0.25">
      <c r="A108" s="208" t="s">
        <v>311</v>
      </c>
      <c r="B108" s="259"/>
      <c r="C108" s="260" t="s">
        <v>312</v>
      </c>
      <c r="D108" s="260" t="s">
        <v>313</v>
      </c>
      <c r="E108" s="260">
        <v>211</v>
      </c>
      <c r="F108" s="261" t="s">
        <v>240</v>
      </c>
      <c r="G108" s="24">
        <f t="shared" si="86"/>
        <v>109875297</v>
      </c>
      <c r="H108" s="25">
        <f>+'[15]SA 2020 2024'!$F20</f>
        <v>270000000</v>
      </c>
      <c r="I108" s="25">
        <f t="shared" si="92"/>
        <v>160124703</v>
      </c>
      <c r="J108" s="24">
        <v>99415867</v>
      </c>
      <c r="K108" s="24"/>
      <c r="L108" s="24"/>
      <c r="M108" s="24"/>
      <c r="N108" s="24"/>
      <c r="O108" s="24"/>
      <c r="P108" s="24"/>
      <c r="Q108" s="24">
        <f>2343630+8115800</f>
        <v>10459430</v>
      </c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>
        <v>0</v>
      </c>
      <c r="AG108" s="27">
        <f t="shared" si="58"/>
        <v>0.51416534510027312</v>
      </c>
      <c r="AH108" s="24">
        <f t="shared" si="44"/>
        <v>56494070</v>
      </c>
      <c r="AI108" s="24">
        <f>+[4]JULIO!$J$151</f>
        <v>56494070</v>
      </c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7">
        <f t="shared" si="60"/>
        <v>0.48583465489972688</v>
      </c>
      <c r="BG108" s="24">
        <f t="shared" si="67"/>
        <v>53381227</v>
      </c>
      <c r="BH108" s="24">
        <f t="shared" si="87"/>
        <v>42921797</v>
      </c>
      <c r="BI108" s="24">
        <f t="shared" si="87"/>
        <v>0</v>
      </c>
      <c r="BJ108" s="24">
        <f t="shared" si="87"/>
        <v>0</v>
      </c>
      <c r="BK108" s="24">
        <f t="shared" si="87"/>
        <v>0</v>
      </c>
      <c r="BL108" s="24">
        <f t="shared" si="87"/>
        <v>0</v>
      </c>
      <c r="BM108" s="24">
        <f t="shared" si="87"/>
        <v>0</v>
      </c>
      <c r="BN108" s="24">
        <f t="shared" si="87"/>
        <v>0</v>
      </c>
      <c r="BO108" s="24">
        <f t="shared" si="87"/>
        <v>10459430</v>
      </c>
      <c r="BP108" s="24">
        <f t="shared" si="87"/>
        <v>0</v>
      </c>
      <c r="BQ108" s="24">
        <f t="shared" si="87"/>
        <v>0</v>
      </c>
      <c r="BR108" s="24">
        <f t="shared" si="87"/>
        <v>0</v>
      </c>
      <c r="BS108" s="24">
        <f t="shared" si="87"/>
        <v>0</v>
      </c>
      <c r="BT108" s="24">
        <f t="shared" si="87"/>
        <v>0</v>
      </c>
      <c r="BU108" s="24">
        <f t="shared" si="87"/>
        <v>0</v>
      </c>
      <c r="BV108" s="24">
        <f t="shared" si="87"/>
        <v>0</v>
      </c>
      <c r="BW108" s="24">
        <f t="shared" si="87"/>
        <v>0</v>
      </c>
      <c r="BX108" s="24">
        <f t="shared" si="88"/>
        <v>0</v>
      </c>
      <c r="BY108" s="24">
        <f t="shared" si="88"/>
        <v>0</v>
      </c>
      <c r="BZ108" s="24">
        <f t="shared" si="88"/>
        <v>0</v>
      </c>
      <c r="CA108" s="24">
        <f t="shared" si="88"/>
        <v>0</v>
      </c>
      <c r="CB108" s="24">
        <f t="shared" si="88"/>
        <v>0</v>
      </c>
      <c r="CC108" s="24">
        <f t="shared" si="88"/>
        <v>0</v>
      </c>
      <c r="CD108" s="24">
        <f t="shared" si="88"/>
        <v>0</v>
      </c>
      <c r="CE108" s="27">
        <f t="shared" si="48"/>
        <v>0</v>
      </c>
      <c r="CF108" s="24">
        <f t="shared" si="49"/>
        <v>0</v>
      </c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7">
        <f t="shared" si="59"/>
        <v>1</v>
      </c>
      <c r="DE108" s="24">
        <f t="shared" si="89"/>
        <v>109875297</v>
      </c>
      <c r="DF108" s="24">
        <f t="shared" si="90"/>
        <v>99415867</v>
      </c>
      <c r="DG108" s="24">
        <f t="shared" si="90"/>
        <v>0</v>
      </c>
      <c r="DH108" s="24">
        <f t="shared" si="90"/>
        <v>0</v>
      </c>
      <c r="DI108" s="24">
        <f t="shared" si="90"/>
        <v>0</v>
      </c>
      <c r="DJ108" s="24">
        <f t="shared" si="90"/>
        <v>0</v>
      </c>
      <c r="DK108" s="24">
        <f t="shared" si="90"/>
        <v>0</v>
      </c>
      <c r="DL108" s="24">
        <f t="shared" si="90"/>
        <v>0</v>
      </c>
      <c r="DM108" s="24">
        <f t="shared" si="90"/>
        <v>10459430</v>
      </c>
      <c r="DN108" s="24">
        <f t="shared" si="90"/>
        <v>0</v>
      </c>
      <c r="DO108" s="24">
        <f t="shared" si="90"/>
        <v>0</v>
      </c>
      <c r="DP108" s="24">
        <f t="shared" si="90"/>
        <v>0</v>
      </c>
      <c r="DQ108" s="24">
        <f t="shared" si="90"/>
        <v>0</v>
      </c>
      <c r="DR108" s="24">
        <f t="shared" si="90"/>
        <v>0</v>
      </c>
      <c r="DS108" s="24">
        <f t="shared" si="90"/>
        <v>0</v>
      </c>
      <c r="DT108" s="24">
        <f t="shared" si="90"/>
        <v>0</v>
      </c>
      <c r="DU108" s="24">
        <f t="shared" si="90"/>
        <v>0</v>
      </c>
      <c r="DV108" s="24">
        <f t="shared" si="91"/>
        <v>0</v>
      </c>
      <c r="DW108" s="24">
        <f t="shared" si="91"/>
        <v>0</v>
      </c>
      <c r="DX108" s="24">
        <f t="shared" si="91"/>
        <v>0</v>
      </c>
      <c r="DY108" s="24">
        <f t="shared" si="91"/>
        <v>0</v>
      </c>
      <c r="DZ108" s="24">
        <f t="shared" si="91"/>
        <v>0</v>
      </c>
      <c r="EA108" s="24">
        <f t="shared" si="91"/>
        <v>0</v>
      </c>
      <c r="EB108" s="24">
        <f t="shared" si="91"/>
        <v>0</v>
      </c>
      <c r="ED108" s="152"/>
      <c r="EE108" s="45">
        <f t="shared" si="74"/>
        <v>109875297</v>
      </c>
      <c r="EF108" s="45">
        <f t="shared" si="75"/>
        <v>0</v>
      </c>
      <c r="EG108" s="159">
        <f t="shared" si="76"/>
        <v>0</v>
      </c>
    </row>
    <row r="109" spans="1:137" ht="40.15" hidden="1" customHeight="1" x14ac:dyDescent="0.25">
      <c r="A109" s="208"/>
      <c r="B109" s="259"/>
      <c r="C109" s="260" t="s">
        <v>314</v>
      </c>
      <c r="D109" s="260" t="s">
        <v>315</v>
      </c>
      <c r="E109" s="260">
        <v>211</v>
      </c>
      <c r="F109" s="261" t="s">
        <v>316</v>
      </c>
      <c r="G109" s="24">
        <f t="shared" si="86"/>
        <v>262242424</v>
      </c>
      <c r="H109" s="25">
        <f>+'[15]SA 2020 2024'!$F21</f>
        <v>759000000</v>
      </c>
      <c r="I109" s="25">
        <f t="shared" si="92"/>
        <v>496757576</v>
      </c>
      <c r="J109" s="47"/>
      <c r="K109" s="24"/>
      <c r="L109" s="24"/>
      <c r="M109" s="82">
        <v>32862151</v>
      </c>
      <c r="N109" s="24"/>
      <c r="O109" s="24">
        <f>80000000-1000000</f>
        <v>79000000</v>
      </c>
      <c r="P109" s="24"/>
      <c r="Q109" s="24"/>
      <c r="R109" s="24">
        <f>45000000-45000000</f>
        <v>0</v>
      </c>
      <c r="S109" s="24">
        <f>30123239-30123239</f>
        <v>0</v>
      </c>
      <c r="T109" s="24">
        <f>45000000-45000000</f>
        <v>0</v>
      </c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>
        <v>60331214</v>
      </c>
      <c r="AF109" s="26">
        <f>71933832+6848373-11700000-28000000+40466854+10500000</f>
        <v>90049059</v>
      </c>
      <c r="AG109" s="27">
        <f t="shared" si="58"/>
        <v>0.57343986799023794</v>
      </c>
      <c r="AH109" s="24">
        <f t="shared" si="44"/>
        <v>150380261</v>
      </c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>
        <f>+[3]SEPTIEMBRE!$G$209</f>
        <v>60331214</v>
      </c>
      <c r="BE109" s="24">
        <f>+[2]OCTUBRE!$AG$208</f>
        <v>90049047</v>
      </c>
      <c r="BF109" s="27">
        <f t="shared" si="60"/>
        <v>0.42656013200976206</v>
      </c>
      <c r="BG109" s="24">
        <f t="shared" si="67"/>
        <v>111862163</v>
      </c>
      <c r="BH109" s="24">
        <f t="shared" si="87"/>
        <v>0</v>
      </c>
      <c r="BI109" s="24">
        <f t="shared" si="87"/>
        <v>0</v>
      </c>
      <c r="BJ109" s="24">
        <f t="shared" si="87"/>
        <v>0</v>
      </c>
      <c r="BK109" s="24">
        <f t="shared" si="87"/>
        <v>32862151</v>
      </c>
      <c r="BL109" s="24">
        <f t="shared" si="87"/>
        <v>0</v>
      </c>
      <c r="BM109" s="24">
        <f t="shared" si="87"/>
        <v>79000000</v>
      </c>
      <c r="BN109" s="24">
        <f t="shared" si="87"/>
        <v>0</v>
      </c>
      <c r="BO109" s="24">
        <f t="shared" si="87"/>
        <v>0</v>
      </c>
      <c r="BP109" s="24">
        <f t="shared" si="87"/>
        <v>0</v>
      </c>
      <c r="BQ109" s="24">
        <f t="shared" si="87"/>
        <v>0</v>
      </c>
      <c r="BR109" s="24">
        <f t="shared" si="87"/>
        <v>0</v>
      </c>
      <c r="BS109" s="24">
        <f t="shared" si="87"/>
        <v>0</v>
      </c>
      <c r="BT109" s="24">
        <f t="shared" si="87"/>
        <v>0</v>
      </c>
      <c r="BU109" s="24">
        <f t="shared" si="87"/>
        <v>0</v>
      </c>
      <c r="BV109" s="24">
        <f t="shared" si="87"/>
        <v>0</v>
      </c>
      <c r="BW109" s="24">
        <f t="shared" si="87"/>
        <v>0</v>
      </c>
      <c r="BX109" s="24">
        <f t="shared" si="88"/>
        <v>0</v>
      </c>
      <c r="BY109" s="24">
        <f t="shared" si="88"/>
        <v>0</v>
      </c>
      <c r="BZ109" s="24">
        <f t="shared" si="88"/>
        <v>0</v>
      </c>
      <c r="CA109" s="24">
        <f t="shared" si="88"/>
        <v>0</v>
      </c>
      <c r="CB109" s="24">
        <f t="shared" si="88"/>
        <v>0</v>
      </c>
      <c r="CC109" s="24">
        <f t="shared" si="88"/>
        <v>0</v>
      </c>
      <c r="CD109" s="24">
        <f t="shared" si="88"/>
        <v>12</v>
      </c>
      <c r="CE109" s="27">
        <f t="shared" si="48"/>
        <v>0.10475276875872686</v>
      </c>
      <c r="CF109" s="24">
        <f t="shared" si="49"/>
        <v>27470620</v>
      </c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>
        <f>+[3]SEPTIEMBRE!$H$191</f>
        <v>27470620</v>
      </c>
      <c r="DD109" s="27">
        <f t="shared" si="59"/>
        <v>0.89524723124127314</v>
      </c>
      <c r="DE109" s="24">
        <f t="shared" si="89"/>
        <v>234771804</v>
      </c>
      <c r="DF109" s="24">
        <f t="shared" si="90"/>
        <v>0</v>
      </c>
      <c r="DG109" s="24">
        <f t="shared" si="90"/>
        <v>0</v>
      </c>
      <c r="DH109" s="24">
        <f t="shared" si="90"/>
        <v>0</v>
      </c>
      <c r="DI109" s="24">
        <f t="shared" si="90"/>
        <v>32862151</v>
      </c>
      <c r="DJ109" s="24">
        <f t="shared" si="90"/>
        <v>0</v>
      </c>
      <c r="DK109" s="24">
        <f t="shared" si="90"/>
        <v>79000000</v>
      </c>
      <c r="DL109" s="24">
        <f t="shared" si="90"/>
        <v>0</v>
      </c>
      <c r="DM109" s="24">
        <f t="shared" si="90"/>
        <v>0</v>
      </c>
      <c r="DN109" s="24">
        <f t="shared" si="90"/>
        <v>0</v>
      </c>
      <c r="DO109" s="24">
        <f t="shared" si="90"/>
        <v>0</v>
      </c>
      <c r="DP109" s="24">
        <f t="shared" si="90"/>
        <v>0</v>
      </c>
      <c r="DQ109" s="24">
        <f t="shared" si="90"/>
        <v>0</v>
      </c>
      <c r="DR109" s="24">
        <f t="shared" si="90"/>
        <v>0</v>
      </c>
      <c r="DS109" s="24">
        <f t="shared" si="90"/>
        <v>0</v>
      </c>
      <c r="DT109" s="24">
        <f t="shared" si="90"/>
        <v>0</v>
      </c>
      <c r="DU109" s="24">
        <f t="shared" si="90"/>
        <v>0</v>
      </c>
      <c r="DV109" s="24">
        <f t="shared" si="91"/>
        <v>0</v>
      </c>
      <c r="DW109" s="24">
        <f t="shared" si="91"/>
        <v>0</v>
      </c>
      <c r="DX109" s="24">
        <f t="shared" si="91"/>
        <v>0</v>
      </c>
      <c r="DY109" s="24">
        <f t="shared" si="91"/>
        <v>0</v>
      </c>
      <c r="DZ109" s="24">
        <f t="shared" si="91"/>
        <v>0</v>
      </c>
      <c r="EA109" s="24">
        <f t="shared" si="91"/>
        <v>60331214</v>
      </c>
      <c r="EB109" s="24">
        <f t="shared" si="91"/>
        <v>62578439</v>
      </c>
      <c r="ED109" s="150"/>
      <c r="EE109" s="45">
        <f t="shared" si="74"/>
        <v>262242424</v>
      </c>
      <c r="EF109" s="45">
        <f t="shared" si="75"/>
        <v>27470620</v>
      </c>
      <c r="EG109" s="159">
        <f t="shared" si="76"/>
        <v>0.10475276875872686</v>
      </c>
    </row>
    <row r="110" spans="1:137" ht="20.45" hidden="1" customHeight="1" x14ac:dyDescent="0.25">
      <c r="A110" s="208"/>
      <c r="B110" s="259"/>
      <c r="C110" s="260" t="s">
        <v>317</v>
      </c>
      <c r="D110" s="260" t="s">
        <v>318</v>
      </c>
      <c r="E110" s="260">
        <v>211</v>
      </c>
      <c r="F110" s="261" t="s">
        <v>240</v>
      </c>
      <c r="G110" s="24">
        <f t="shared" si="86"/>
        <v>0</v>
      </c>
      <c r="H110" s="25">
        <f>+'[15]SA 2020 2024'!$F22</f>
        <v>100000000</v>
      </c>
      <c r="I110" s="25">
        <f t="shared" si="92"/>
        <v>100000000</v>
      </c>
      <c r="J110" s="47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6">
        <v>0</v>
      </c>
      <c r="AG110" s="27" t="e">
        <f t="shared" si="58"/>
        <v>#DIV/0!</v>
      </c>
      <c r="AH110" s="24">
        <f t="shared" si="44"/>
        <v>0</v>
      </c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7" t="e">
        <f t="shared" si="60"/>
        <v>#DIV/0!</v>
      </c>
      <c r="BG110" s="24">
        <f t="shared" si="67"/>
        <v>0</v>
      </c>
      <c r="BH110" s="24">
        <f t="shared" si="87"/>
        <v>0</v>
      </c>
      <c r="BI110" s="24">
        <f t="shared" si="87"/>
        <v>0</v>
      </c>
      <c r="BJ110" s="24">
        <f t="shared" si="87"/>
        <v>0</v>
      </c>
      <c r="BK110" s="24">
        <f t="shared" si="87"/>
        <v>0</v>
      </c>
      <c r="BL110" s="24">
        <f t="shared" si="87"/>
        <v>0</v>
      </c>
      <c r="BM110" s="24">
        <f t="shared" si="87"/>
        <v>0</v>
      </c>
      <c r="BN110" s="24">
        <f t="shared" si="87"/>
        <v>0</v>
      </c>
      <c r="BO110" s="24">
        <f t="shared" si="87"/>
        <v>0</v>
      </c>
      <c r="BP110" s="24">
        <f t="shared" si="87"/>
        <v>0</v>
      </c>
      <c r="BQ110" s="24">
        <f t="shared" si="87"/>
        <v>0</v>
      </c>
      <c r="BR110" s="24">
        <f t="shared" si="87"/>
        <v>0</v>
      </c>
      <c r="BS110" s="24">
        <f t="shared" si="87"/>
        <v>0</v>
      </c>
      <c r="BT110" s="24">
        <f t="shared" si="87"/>
        <v>0</v>
      </c>
      <c r="BU110" s="24">
        <f t="shared" si="87"/>
        <v>0</v>
      </c>
      <c r="BV110" s="24">
        <f t="shared" si="87"/>
        <v>0</v>
      </c>
      <c r="BW110" s="24">
        <f t="shared" si="87"/>
        <v>0</v>
      </c>
      <c r="BX110" s="24">
        <f t="shared" si="88"/>
        <v>0</v>
      </c>
      <c r="BY110" s="24">
        <f t="shared" si="88"/>
        <v>0</v>
      </c>
      <c r="BZ110" s="24">
        <f t="shared" si="88"/>
        <v>0</v>
      </c>
      <c r="CA110" s="24">
        <f t="shared" si="88"/>
        <v>0</v>
      </c>
      <c r="CB110" s="24">
        <f t="shared" si="88"/>
        <v>0</v>
      </c>
      <c r="CC110" s="24">
        <f t="shared" si="88"/>
        <v>0</v>
      </c>
      <c r="CD110" s="24">
        <f t="shared" si="88"/>
        <v>0</v>
      </c>
      <c r="CE110" s="27" t="e">
        <f t="shared" si="48"/>
        <v>#DIV/0!</v>
      </c>
      <c r="CF110" s="24">
        <f t="shared" si="49"/>
        <v>0</v>
      </c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7" t="e">
        <f t="shared" si="59"/>
        <v>#DIV/0!</v>
      </c>
      <c r="DE110" s="24">
        <f t="shared" si="89"/>
        <v>0</v>
      </c>
      <c r="DF110" s="24">
        <f t="shared" si="90"/>
        <v>0</v>
      </c>
      <c r="DG110" s="24">
        <f t="shared" si="90"/>
        <v>0</v>
      </c>
      <c r="DH110" s="24">
        <f t="shared" si="90"/>
        <v>0</v>
      </c>
      <c r="DI110" s="24">
        <f t="shared" si="90"/>
        <v>0</v>
      </c>
      <c r="DJ110" s="24">
        <f t="shared" si="90"/>
        <v>0</v>
      </c>
      <c r="DK110" s="24">
        <f t="shared" si="90"/>
        <v>0</v>
      </c>
      <c r="DL110" s="24">
        <f t="shared" si="90"/>
        <v>0</v>
      </c>
      <c r="DM110" s="24">
        <f t="shared" si="90"/>
        <v>0</v>
      </c>
      <c r="DN110" s="24">
        <f t="shared" si="90"/>
        <v>0</v>
      </c>
      <c r="DO110" s="24">
        <f t="shared" si="90"/>
        <v>0</v>
      </c>
      <c r="DP110" s="24">
        <f t="shared" si="90"/>
        <v>0</v>
      </c>
      <c r="DQ110" s="24">
        <f t="shared" si="90"/>
        <v>0</v>
      </c>
      <c r="DR110" s="24">
        <f t="shared" si="90"/>
        <v>0</v>
      </c>
      <c r="DS110" s="24">
        <f t="shared" si="90"/>
        <v>0</v>
      </c>
      <c r="DT110" s="24">
        <f t="shared" si="90"/>
        <v>0</v>
      </c>
      <c r="DU110" s="24">
        <f t="shared" si="90"/>
        <v>0</v>
      </c>
      <c r="DV110" s="24">
        <f t="shared" si="91"/>
        <v>0</v>
      </c>
      <c r="DW110" s="24">
        <f t="shared" si="91"/>
        <v>0</v>
      </c>
      <c r="DX110" s="24">
        <f t="shared" si="91"/>
        <v>0</v>
      </c>
      <c r="DY110" s="24">
        <f t="shared" si="91"/>
        <v>0</v>
      </c>
      <c r="DZ110" s="24">
        <f t="shared" si="91"/>
        <v>0</v>
      </c>
      <c r="EA110" s="24">
        <f t="shared" si="91"/>
        <v>0</v>
      </c>
      <c r="EB110" s="24">
        <f t="shared" si="91"/>
        <v>0</v>
      </c>
      <c r="ED110" s="150"/>
      <c r="EE110" s="45">
        <f t="shared" si="74"/>
        <v>0</v>
      </c>
      <c r="EF110" s="45">
        <f t="shared" si="75"/>
        <v>0</v>
      </c>
      <c r="EG110" s="159" t="e">
        <f t="shared" si="76"/>
        <v>#DIV/0!</v>
      </c>
    </row>
    <row r="111" spans="1:137" ht="73.900000000000006" hidden="1" customHeight="1" x14ac:dyDescent="0.25">
      <c r="A111" s="208"/>
      <c r="B111" s="259"/>
      <c r="C111" s="260" t="s">
        <v>319</v>
      </c>
      <c r="D111" s="260" t="s">
        <v>320</v>
      </c>
      <c r="E111" s="260">
        <v>211</v>
      </c>
      <c r="F111" s="261" t="s">
        <v>321</v>
      </c>
      <c r="G111" s="24">
        <f t="shared" si="86"/>
        <v>242088930</v>
      </c>
      <c r="H111" s="25">
        <f>+'[15]SA 2020 2024'!$F23</f>
        <v>504000000</v>
      </c>
      <c r="I111" s="25">
        <f t="shared" si="92"/>
        <v>261911070</v>
      </c>
      <c r="J111" s="47"/>
      <c r="K111" s="24"/>
      <c r="L111" s="24"/>
      <c r="M111" s="24"/>
      <c r="N111" s="24"/>
      <c r="O111" s="24"/>
      <c r="P111" s="24"/>
      <c r="Q111" s="24"/>
      <c r="R111" s="24">
        <f>14249213-14249213</f>
        <v>0</v>
      </c>
      <c r="S111" s="24"/>
      <c r="T111" s="24">
        <f>53764535-53764535</f>
        <v>0</v>
      </c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6">
        <f>124450919+9000000+21938011+10000000+42000000+20000000+14700000</f>
        <v>242088930</v>
      </c>
      <c r="AG111" s="27">
        <f t="shared" si="58"/>
        <v>0.81971845635403484</v>
      </c>
      <c r="AH111" s="24">
        <f t="shared" si="44"/>
        <v>198444764</v>
      </c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>
        <f>+[2]OCTUBRE!$AG$249</f>
        <v>198444764</v>
      </c>
      <c r="BF111" s="27">
        <f t="shared" si="60"/>
        <v>0.18028154364596516</v>
      </c>
      <c r="BG111" s="24">
        <f t="shared" si="67"/>
        <v>43644166</v>
      </c>
      <c r="BH111" s="24">
        <f t="shared" si="87"/>
        <v>0</v>
      </c>
      <c r="BI111" s="24">
        <f t="shared" si="87"/>
        <v>0</v>
      </c>
      <c r="BJ111" s="24">
        <f t="shared" si="87"/>
        <v>0</v>
      </c>
      <c r="BK111" s="24">
        <f t="shared" si="87"/>
        <v>0</v>
      </c>
      <c r="BL111" s="24">
        <f t="shared" si="87"/>
        <v>0</v>
      </c>
      <c r="BM111" s="24">
        <f t="shared" si="87"/>
        <v>0</v>
      </c>
      <c r="BN111" s="24">
        <f t="shared" si="87"/>
        <v>0</v>
      </c>
      <c r="BO111" s="24">
        <f t="shared" si="87"/>
        <v>0</v>
      </c>
      <c r="BP111" s="24">
        <f t="shared" si="87"/>
        <v>0</v>
      </c>
      <c r="BQ111" s="24">
        <f t="shared" si="87"/>
        <v>0</v>
      </c>
      <c r="BR111" s="24">
        <f t="shared" si="87"/>
        <v>0</v>
      </c>
      <c r="BS111" s="24">
        <f t="shared" si="87"/>
        <v>0</v>
      </c>
      <c r="BT111" s="24">
        <f t="shared" si="87"/>
        <v>0</v>
      </c>
      <c r="BU111" s="24">
        <f t="shared" si="87"/>
        <v>0</v>
      </c>
      <c r="BV111" s="24">
        <f t="shared" si="87"/>
        <v>0</v>
      </c>
      <c r="BW111" s="24">
        <f t="shared" si="87"/>
        <v>0</v>
      </c>
      <c r="BX111" s="24">
        <f t="shared" si="88"/>
        <v>0</v>
      </c>
      <c r="BY111" s="24">
        <f t="shared" si="88"/>
        <v>0</v>
      </c>
      <c r="BZ111" s="24">
        <f t="shared" si="88"/>
        <v>0</v>
      </c>
      <c r="CA111" s="24">
        <f t="shared" si="88"/>
        <v>0</v>
      </c>
      <c r="CB111" s="24">
        <f t="shared" si="88"/>
        <v>0</v>
      </c>
      <c r="CC111" s="24">
        <f t="shared" si="88"/>
        <v>0</v>
      </c>
      <c r="CD111" s="24">
        <f t="shared" si="88"/>
        <v>43644166</v>
      </c>
      <c r="CE111" s="27">
        <f t="shared" si="48"/>
        <v>0.38267129356141977</v>
      </c>
      <c r="CF111" s="24">
        <f t="shared" si="49"/>
        <v>92640484</v>
      </c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>
        <f>+[2]OCTUBRE!$H$247</f>
        <v>92640484</v>
      </c>
      <c r="DD111" s="27">
        <f t="shared" si="59"/>
        <v>0.61732870643858018</v>
      </c>
      <c r="DE111" s="24">
        <f t="shared" si="89"/>
        <v>149448446</v>
      </c>
      <c r="DF111" s="24">
        <f t="shared" si="90"/>
        <v>0</v>
      </c>
      <c r="DG111" s="24">
        <f t="shared" si="90"/>
        <v>0</v>
      </c>
      <c r="DH111" s="24">
        <f t="shared" si="90"/>
        <v>0</v>
      </c>
      <c r="DI111" s="24">
        <f t="shared" si="90"/>
        <v>0</v>
      </c>
      <c r="DJ111" s="24">
        <f t="shared" si="90"/>
        <v>0</v>
      </c>
      <c r="DK111" s="24">
        <f t="shared" si="90"/>
        <v>0</v>
      </c>
      <c r="DL111" s="24">
        <f t="shared" si="90"/>
        <v>0</v>
      </c>
      <c r="DM111" s="24">
        <f t="shared" si="90"/>
        <v>0</v>
      </c>
      <c r="DN111" s="24">
        <f t="shared" si="90"/>
        <v>0</v>
      </c>
      <c r="DO111" s="24">
        <f t="shared" si="90"/>
        <v>0</v>
      </c>
      <c r="DP111" s="24">
        <f t="shared" si="90"/>
        <v>0</v>
      </c>
      <c r="DQ111" s="24">
        <f t="shared" si="90"/>
        <v>0</v>
      </c>
      <c r="DR111" s="24">
        <f t="shared" si="90"/>
        <v>0</v>
      </c>
      <c r="DS111" s="24">
        <f t="shared" si="90"/>
        <v>0</v>
      </c>
      <c r="DT111" s="24">
        <f t="shared" si="90"/>
        <v>0</v>
      </c>
      <c r="DU111" s="24">
        <f t="shared" si="90"/>
        <v>0</v>
      </c>
      <c r="DV111" s="24">
        <f t="shared" si="91"/>
        <v>0</v>
      </c>
      <c r="DW111" s="24">
        <f t="shared" si="91"/>
        <v>0</v>
      </c>
      <c r="DX111" s="24">
        <f t="shared" si="91"/>
        <v>0</v>
      </c>
      <c r="DY111" s="24">
        <f t="shared" si="91"/>
        <v>0</v>
      </c>
      <c r="DZ111" s="24">
        <f t="shared" si="91"/>
        <v>0</v>
      </c>
      <c r="EA111" s="24">
        <f t="shared" si="91"/>
        <v>0</v>
      </c>
      <c r="EB111" s="24">
        <f t="shared" si="91"/>
        <v>149448446</v>
      </c>
      <c r="ED111" s="152"/>
      <c r="EE111" s="45">
        <f t="shared" si="74"/>
        <v>242088930</v>
      </c>
      <c r="EF111" s="45">
        <f t="shared" si="75"/>
        <v>92640484</v>
      </c>
      <c r="EG111" s="159">
        <f t="shared" si="76"/>
        <v>0.38267129356141977</v>
      </c>
    </row>
    <row r="112" spans="1:137" ht="25.15" hidden="1" customHeight="1" x14ac:dyDescent="0.25">
      <c r="A112" s="208"/>
      <c r="B112" s="259"/>
      <c r="C112" s="260" t="s">
        <v>322</v>
      </c>
      <c r="D112" s="260" t="s">
        <v>323</v>
      </c>
      <c r="E112" s="260">
        <v>211</v>
      </c>
      <c r="F112" s="261" t="s">
        <v>324</v>
      </c>
      <c r="G112" s="24">
        <f t="shared" si="86"/>
        <v>3000000</v>
      </c>
      <c r="H112" s="25">
        <f>+'[15]SA 2020 2024'!$F24</f>
        <v>252000000</v>
      </c>
      <c r="I112" s="25">
        <f t="shared" si="92"/>
        <v>249000000</v>
      </c>
      <c r="J112" s="47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6">
        <v>3000000</v>
      </c>
      <c r="AG112" s="27">
        <f t="shared" si="58"/>
        <v>0</v>
      </c>
      <c r="AH112" s="24">
        <f t="shared" si="44"/>
        <v>0</v>
      </c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7">
        <f t="shared" si="60"/>
        <v>1</v>
      </c>
      <c r="BG112" s="24">
        <f t="shared" si="67"/>
        <v>3000000</v>
      </c>
      <c r="BH112" s="24">
        <f t="shared" si="87"/>
        <v>0</v>
      </c>
      <c r="BI112" s="24">
        <f t="shared" si="87"/>
        <v>0</v>
      </c>
      <c r="BJ112" s="24">
        <f t="shared" si="87"/>
        <v>0</v>
      </c>
      <c r="BK112" s="24">
        <f t="shared" si="87"/>
        <v>0</v>
      </c>
      <c r="BL112" s="24">
        <f t="shared" si="87"/>
        <v>0</v>
      </c>
      <c r="BM112" s="24">
        <f t="shared" si="87"/>
        <v>0</v>
      </c>
      <c r="BN112" s="24">
        <f t="shared" si="87"/>
        <v>0</v>
      </c>
      <c r="BO112" s="24">
        <f t="shared" si="87"/>
        <v>0</v>
      </c>
      <c r="BP112" s="24">
        <f t="shared" si="87"/>
        <v>0</v>
      </c>
      <c r="BQ112" s="24">
        <f t="shared" si="87"/>
        <v>0</v>
      </c>
      <c r="BR112" s="24">
        <f t="shared" si="87"/>
        <v>0</v>
      </c>
      <c r="BS112" s="24">
        <f t="shared" si="87"/>
        <v>0</v>
      </c>
      <c r="BT112" s="24">
        <f t="shared" si="87"/>
        <v>0</v>
      </c>
      <c r="BU112" s="24">
        <f t="shared" si="87"/>
        <v>0</v>
      </c>
      <c r="BV112" s="24">
        <f t="shared" si="87"/>
        <v>0</v>
      </c>
      <c r="BW112" s="24">
        <f t="shared" si="87"/>
        <v>0</v>
      </c>
      <c r="BX112" s="24">
        <f t="shared" si="88"/>
        <v>0</v>
      </c>
      <c r="BY112" s="24">
        <f t="shared" si="88"/>
        <v>0</v>
      </c>
      <c r="BZ112" s="24">
        <f t="shared" si="88"/>
        <v>0</v>
      </c>
      <c r="CA112" s="24">
        <f t="shared" si="88"/>
        <v>0</v>
      </c>
      <c r="CB112" s="24">
        <f t="shared" si="88"/>
        <v>0</v>
      </c>
      <c r="CC112" s="24">
        <f t="shared" si="88"/>
        <v>0</v>
      </c>
      <c r="CD112" s="24">
        <f t="shared" si="88"/>
        <v>3000000</v>
      </c>
      <c r="CE112" s="27">
        <f t="shared" si="48"/>
        <v>0</v>
      </c>
      <c r="CF112" s="24">
        <f t="shared" si="49"/>
        <v>0</v>
      </c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7">
        <f t="shared" si="59"/>
        <v>1</v>
      </c>
      <c r="DE112" s="24">
        <f t="shared" si="89"/>
        <v>3000000</v>
      </c>
      <c r="DF112" s="24">
        <f t="shared" si="90"/>
        <v>0</v>
      </c>
      <c r="DG112" s="24">
        <f t="shared" si="90"/>
        <v>0</v>
      </c>
      <c r="DH112" s="24">
        <f t="shared" si="90"/>
        <v>0</v>
      </c>
      <c r="DI112" s="24">
        <f t="shared" si="90"/>
        <v>0</v>
      </c>
      <c r="DJ112" s="24">
        <f t="shared" si="90"/>
        <v>0</v>
      </c>
      <c r="DK112" s="24">
        <f t="shared" si="90"/>
        <v>0</v>
      </c>
      <c r="DL112" s="24">
        <f t="shared" si="90"/>
        <v>0</v>
      </c>
      <c r="DM112" s="24">
        <f t="shared" si="90"/>
        <v>0</v>
      </c>
      <c r="DN112" s="24">
        <f t="shared" si="90"/>
        <v>0</v>
      </c>
      <c r="DO112" s="24">
        <f t="shared" si="90"/>
        <v>0</v>
      </c>
      <c r="DP112" s="24">
        <f t="shared" si="90"/>
        <v>0</v>
      </c>
      <c r="DQ112" s="24">
        <f t="shared" si="90"/>
        <v>0</v>
      </c>
      <c r="DR112" s="24">
        <f t="shared" si="90"/>
        <v>0</v>
      </c>
      <c r="DS112" s="24">
        <f t="shared" si="90"/>
        <v>0</v>
      </c>
      <c r="DT112" s="24">
        <f t="shared" si="90"/>
        <v>0</v>
      </c>
      <c r="DU112" s="24">
        <f t="shared" si="90"/>
        <v>0</v>
      </c>
      <c r="DV112" s="24">
        <f t="shared" si="91"/>
        <v>0</v>
      </c>
      <c r="DW112" s="24">
        <f t="shared" si="91"/>
        <v>0</v>
      </c>
      <c r="DX112" s="24">
        <f t="shared" si="91"/>
        <v>0</v>
      </c>
      <c r="DY112" s="24">
        <f t="shared" si="91"/>
        <v>0</v>
      </c>
      <c r="DZ112" s="24">
        <f t="shared" si="91"/>
        <v>0</v>
      </c>
      <c r="EA112" s="24">
        <f t="shared" si="91"/>
        <v>0</v>
      </c>
      <c r="EB112" s="24">
        <f t="shared" si="91"/>
        <v>3000000</v>
      </c>
      <c r="ED112" s="150"/>
      <c r="EE112" s="45">
        <f t="shared" si="74"/>
        <v>3000000</v>
      </c>
      <c r="EF112" s="45">
        <f t="shared" si="75"/>
        <v>0</v>
      </c>
      <c r="EG112" s="159">
        <f t="shared" si="76"/>
        <v>0</v>
      </c>
    </row>
    <row r="113" spans="1:137" ht="96.6" hidden="1" customHeight="1" x14ac:dyDescent="0.25">
      <c r="A113" s="208"/>
      <c r="B113" s="259" t="s">
        <v>298</v>
      </c>
      <c r="C113" s="260" t="s">
        <v>325</v>
      </c>
      <c r="D113" s="260" t="s">
        <v>326</v>
      </c>
      <c r="E113" s="260">
        <v>211</v>
      </c>
      <c r="F113" s="261" t="s">
        <v>327</v>
      </c>
      <c r="G113" s="24">
        <f t="shared" si="86"/>
        <v>527336538</v>
      </c>
      <c r="H113" s="25">
        <f>+'[15]SA 2020 2024'!$F25</f>
        <v>246000000</v>
      </c>
      <c r="I113" s="25">
        <f t="shared" si="92"/>
        <v>-281336538</v>
      </c>
      <c r="J113" s="47"/>
      <c r="K113" s="24"/>
      <c r="L113" s="24"/>
      <c r="M113" s="24"/>
      <c r="N113" s="24"/>
      <c r="O113" s="24"/>
      <c r="P113" s="24"/>
      <c r="Q113" s="24"/>
      <c r="R113" s="26">
        <v>47237313</v>
      </c>
      <c r="S113" s="26">
        <f>265157791-250281030+40000000</f>
        <v>54876761</v>
      </c>
      <c r="T113" s="26">
        <v>30000000</v>
      </c>
      <c r="U113" s="24"/>
      <c r="V113" s="24"/>
      <c r="W113" s="24"/>
      <c r="X113" s="24"/>
      <c r="Y113" s="24"/>
      <c r="Z113" s="24"/>
      <c r="AA113" s="24"/>
      <c r="AB113" s="24">
        <v>100000000</v>
      </c>
      <c r="AC113" s="24"/>
      <c r="AD113" s="24"/>
      <c r="AE113" s="24"/>
      <c r="AF113" s="26">
        <f>66270879+71006594+17557879+46984503+11376487+17926897+20000000+18700000+25399225</f>
        <v>295222464</v>
      </c>
      <c r="AG113" s="27">
        <f t="shared" si="58"/>
        <v>0.66222226763281855</v>
      </c>
      <c r="AH113" s="24">
        <f t="shared" si="44"/>
        <v>349213998</v>
      </c>
      <c r="AI113" s="24"/>
      <c r="AJ113" s="24"/>
      <c r="AK113" s="24"/>
      <c r="AL113" s="24"/>
      <c r="AM113" s="24"/>
      <c r="AN113" s="24"/>
      <c r="AO113" s="24"/>
      <c r="AP113" s="24"/>
      <c r="AQ113" s="24"/>
      <c r="AR113" s="24">
        <f>+'[6]MARZO 2020'!$S$204</f>
        <v>14876761</v>
      </c>
      <c r="AS113" s="24"/>
      <c r="AT113" s="24"/>
      <c r="AU113" s="24"/>
      <c r="AV113" s="24"/>
      <c r="AW113" s="24"/>
      <c r="AX113" s="24"/>
      <c r="AY113" s="24"/>
      <c r="AZ113" s="24"/>
      <c r="BA113" s="24">
        <f>+'[11]ABRIL 2020'!$AB$204</f>
        <v>85976539</v>
      </c>
      <c r="BB113" s="24"/>
      <c r="BC113" s="24"/>
      <c r="BD113" s="24"/>
      <c r="BE113" s="24">
        <f>+[2]OCTUBRE!$AG$286</f>
        <v>248360698</v>
      </c>
      <c r="BF113" s="27">
        <f t="shared" si="60"/>
        <v>0.33777773236718145</v>
      </c>
      <c r="BG113" s="24">
        <f t="shared" si="67"/>
        <v>178122540</v>
      </c>
      <c r="BH113" s="24">
        <f t="shared" si="87"/>
        <v>0</v>
      </c>
      <c r="BI113" s="24">
        <f t="shared" si="87"/>
        <v>0</v>
      </c>
      <c r="BJ113" s="24">
        <f t="shared" si="87"/>
        <v>0</v>
      </c>
      <c r="BK113" s="24">
        <f t="shared" si="87"/>
        <v>0</v>
      </c>
      <c r="BL113" s="24">
        <f t="shared" si="87"/>
        <v>0</v>
      </c>
      <c r="BM113" s="24">
        <f t="shared" si="87"/>
        <v>0</v>
      </c>
      <c r="BN113" s="24">
        <f t="shared" si="87"/>
        <v>0</v>
      </c>
      <c r="BO113" s="24">
        <f t="shared" si="87"/>
        <v>0</v>
      </c>
      <c r="BP113" s="24">
        <f t="shared" si="87"/>
        <v>47237313</v>
      </c>
      <c r="BQ113" s="24">
        <f t="shared" si="87"/>
        <v>40000000</v>
      </c>
      <c r="BR113" s="24">
        <f t="shared" si="87"/>
        <v>30000000</v>
      </c>
      <c r="BS113" s="24">
        <f t="shared" si="87"/>
        <v>0</v>
      </c>
      <c r="BT113" s="24">
        <f t="shared" si="87"/>
        <v>0</v>
      </c>
      <c r="BU113" s="24">
        <f t="shared" si="87"/>
        <v>0</v>
      </c>
      <c r="BV113" s="24">
        <f t="shared" si="87"/>
        <v>0</v>
      </c>
      <c r="BW113" s="24">
        <f t="shared" ref="BW113:BW128" si="93">+Y113-AX113</f>
        <v>0</v>
      </c>
      <c r="BX113" s="24">
        <f t="shared" si="88"/>
        <v>0</v>
      </c>
      <c r="BY113" s="24">
        <f t="shared" si="88"/>
        <v>0</v>
      </c>
      <c r="BZ113" s="24">
        <f t="shared" si="88"/>
        <v>14023461</v>
      </c>
      <c r="CA113" s="24">
        <f t="shared" si="88"/>
        <v>0</v>
      </c>
      <c r="CB113" s="24">
        <f t="shared" si="88"/>
        <v>0</v>
      </c>
      <c r="CC113" s="24">
        <f t="shared" si="88"/>
        <v>0</v>
      </c>
      <c r="CD113" s="37">
        <f t="shared" si="88"/>
        <v>46861766</v>
      </c>
      <c r="CE113" s="27">
        <f t="shared" si="48"/>
        <v>0.23310218644474054</v>
      </c>
      <c r="CF113" s="24">
        <f t="shared" si="49"/>
        <v>122923300</v>
      </c>
      <c r="CG113" s="24"/>
      <c r="CH113" s="24"/>
      <c r="CI113" s="24"/>
      <c r="CJ113" s="24"/>
      <c r="CK113" s="24"/>
      <c r="CL113" s="24"/>
      <c r="CM113" s="24"/>
      <c r="CN113" s="24"/>
      <c r="CO113" s="24"/>
      <c r="CP113" s="24">
        <f>+'[10]MAYO 2020'!$H$228</f>
        <v>14876761</v>
      </c>
      <c r="CQ113" s="24"/>
      <c r="CR113" s="24"/>
      <c r="CS113" s="24"/>
      <c r="CT113" s="24"/>
      <c r="CU113" s="24"/>
      <c r="CV113" s="24"/>
      <c r="CW113" s="24"/>
      <c r="CX113" s="24"/>
      <c r="CY113" s="24">
        <f>+'[10]MAYO 2020'!$H$223</f>
        <v>83906539</v>
      </c>
      <c r="CZ113" s="24"/>
      <c r="DA113" s="24"/>
      <c r="DB113" s="24"/>
      <c r="DC113" s="24">
        <f>+'[10]MAYO 2020'!$H$213+[3]SEPTIEMBRE!$H$266+[2]OCTUBRE!$H$290</f>
        <v>24140000</v>
      </c>
      <c r="DD113" s="27">
        <f t="shared" si="59"/>
        <v>0.76689781355525943</v>
      </c>
      <c r="DE113" s="24">
        <f t="shared" si="89"/>
        <v>404413238</v>
      </c>
      <c r="DF113" s="24">
        <f t="shared" si="90"/>
        <v>0</v>
      </c>
      <c r="DG113" s="24">
        <f t="shared" si="90"/>
        <v>0</v>
      </c>
      <c r="DH113" s="24">
        <f t="shared" si="90"/>
        <v>0</v>
      </c>
      <c r="DI113" s="24">
        <f t="shared" si="90"/>
        <v>0</v>
      </c>
      <c r="DJ113" s="24">
        <f t="shared" si="90"/>
        <v>0</v>
      </c>
      <c r="DK113" s="24">
        <f t="shared" si="90"/>
        <v>0</v>
      </c>
      <c r="DL113" s="24">
        <f t="shared" si="90"/>
        <v>0</v>
      </c>
      <c r="DM113" s="24">
        <f t="shared" si="90"/>
        <v>0</v>
      </c>
      <c r="DN113" s="24">
        <f t="shared" si="90"/>
        <v>47237313</v>
      </c>
      <c r="DO113" s="24">
        <f t="shared" si="90"/>
        <v>40000000</v>
      </c>
      <c r="DP113" s="24">
        <f t="shared" si="90"/>
        <v>30000000</v>
      </c>
      <c r="DQ113" s="24">
        <f t="shared" si="90"/>
        <v>0</v>
      </c>
      <c r="DR113" s="24">
        <f t="shared" si="90"/>
        <v>0</v>
      </c>
      <c r="DS113" s="24">
        <f t="shared" si="90"/>
        <v>0</v>
      </c>
      <c r="DT113" s="24">
        <f t="shared" si="90"/>
        <v>0</v>
      </c>
      <c r="DU113" s="24">
        <f t="shared" ref="DU113:DU128" si="94">+Y113-CV113</f>
        <v>0</v>
      </c>
      <c r="DV113" s="24">
        <f t="shared" si="91"/>
        <v>0</v>
      </c>
      <c r="DW113" s="24">
        <f t="shared" si="91"/>
        <v>0</v>
      </c>
      <c r="DX113" s="24">
        <f t="shared" si="91"/>
        <v>16093461</v>
      </c>
      <c r="DY113" s="24">
        <f t="shared" si="91"/>
        <v>0</v>
      </c>
      <c r="DZ113" s="24">
        <f t="shared" si="91"/>
        <v>0</v>
      </c>
      <c r="EA113" s="24">
        <f t="shared" si="91"/>
        <v>0</v>
      </c>
      <c r="EB113" s="24">
        <f t="shared" si="91"/>
        <v>271082464</v>
      </c>
      <c r="ED113" s="150"/>
      <c r="EE113" s="45">
        <f t="shared" si="74"/>
        <v>527336538</v>
      </c>
      <c r="EF113" s="45">
        <f t="shared" si="75"/>
        <v>122923300</v>
      </c>
      <c r="EG113" s="159">
        <f t="shared" si="76"/>
        <v>0.23310218644474054</v>
      </c>
    </row>
    <row r="114" spans="1:137" ht="27" hidden="1" customHeight="1" x14ac:dyDescent="0.25">
      <c r="A114" s="208"/>
      <c r="B114" s="259"/>
      <c r="C114" s="260" t="s">
        <v>328</v>
      </c>
      <c r="D114" s="260" t="s">
        <v>329</v>
      </c>
      <c r="E114" s="260">
        <v>211</v>
      </c>
      <c r="F114" s="261" t="s">
        <v>330</v>
      </c>
      <c r="G114" s="24">
        <f t="shared" si="86"/>
        <v>620000000</v>
      </c>
      <c r="H114" s="25">
        <f>+'[15]SA 2020 2024'!$F26</f>
        <v>600000000</v>
      </c>
      <c r="I114" s="25">
        <f t="shared" si="92"/>
        <v>-20000000</v>
      </c>
      <c r="J114" s="47"/>
      <c r="K114" s="24"/>
      <c r="L114" s="24"/>
      <c r="M114" s="24"/>
      <c r="N114" s="24"/>
      <c r="O114" s="24"/>
      <c r="P114" s="24">
        <f>250281030+14876761</f>
        <v>265157791</v>
      </c>
      <c r="Q114" s="24"/>
      <c r="R114" s="24"/>
      <c r="S114" s="24"/>
      <c r="T114" s="24"/>
      <c r="U114" s="24"/>
      <c r="V114" s="24"/>
      <c r="W114" s="24"/>
      <c r="X114" s="24"/>
      <c r="Y114" s="24">
        <v>113002893</v>
      </c>
      <c r="Z114" s="24"/>
      <c r="AA114" s="24">
        <v>238839316</v>
      </c>
      <c r="AB114" s="24"/>
      <c r="AC114" s="24"/>
      <c r="AD114" s="24"/>
      <c r="AE114" s="24"/>
      <c r="AF114" s="26">
        <f>15000000-12000000</f>
        <v>3000000</v>
      </c>
      <c r="AG114" s="27">
        <f t="shared" si="58"/>
        <v>0.99516129032258061</v>
      </c>
      <c r="AH114" s="24">
        <f t="shared" si="44"/>
        <v>617000000</v>
      </c>
      <c r="AI114" s="24"/>
      <c r="AJ114" s="24"/>
      <c r="AK114" s="24"/>
      <c r="AL114" s="24"/>
      <c r="AM114" s="24"/>
      <c r="AN114" s="24"/>
      <c r="AO114" s="24">
        <f>+[4]JULIO!$P$271</f>
        <v>265157791</v>
      </c>
      <c r="AP114" s="24"/>
      <c r="AQ114" s="24"/>
      <c r="AR114" s="24"/>
      <c r="AS114" s="24"/>
      <c r="AT114" s="24"/>
      <c r="AU114" s="24"/>
      <c r="AV114" s="24"/>
      <c r="AW114" s="24"/>
      <c r="AX114" s="24">
        <f>+[4]JULIO!$Y$271</f>
        <v>113002893</v>
      </c>
      <c r="AY114" s="24"/>
      <c r="AZ114" s="24">
        <f>+[4]JULIO!$AA$271</f>
        <v>238839316</v>
      </c>
      <c r="BA114" s="24"/>
      <c r="BB114" s="24"/>
      <c r="BC114" s="24"/>
      <c r="BD114" s="24"/>
      <c r="BE114" s="24"/>
      <c r="BF114" s="27">
        <f t="shared" si="60"/>
        <v>4.8387096774193949E-3</v>
      </c>
      <c r="BG114" s="24">
        <f t="shared" si="67"/>
        <v>3000000</v>
      </c>
      <c r="BH114" s="24">
        <f t="shared" ref="BH114:BV128" si="95">+J114-AI114</f>
        <v>0</v>
      </c>
      <c r="BI114" s="24">
        <f t="shared" si="95"/>
        <v>0</v>
      </c>
      <c r="BJ114" s="24">
        <f t="shared" si="95"/>
        <v>0</v>
      </c>
      <c r="BK114" s="24">
        <f t="shared" si="95"/>
        <v>0</v>
      </c>
      <c r="BL114" s="24">
        <f t="shared" si="95"/>
        <v>0</v>
      </c>
      <c r="BM114" s="24">
        <f t="shared" si="95"/>
        <v>0</v>
      </c>
      <c r="BN114" s="24">
        <f t="shared" si="95"/>
        <v>0</v>
      </c>
      <c r="BO114" s="24">
        <f t="shared" si="95"/>
        <v>0</v>
      </c>
      <c r="BP114" s="24">
        <f t="shared" si="95"/>
        <v>0</v>
      </c>
      <c r="BQ114" s="24">
        <f t="shared" si="95"/>
        <v>0</v>
      </c>
      <c r="BR114" s="24">
        <f t="shared" si="95"/>
        <v>0</v>
      </c>
      <c r="BS114" s="24">
        <f t="shared" si="95"/>
        <v>0</v>
      </c>
      <c r="BT114" s="24">
        <f t="shared" si="95"/>
        <v>0</v>
      </c>
      <c r="BU114" s="24">
        <f t="shared" si="95"/>
        <v>0</v>
      </c>
      <c r="BV114" s="24">
        <f t="shared" si="95"/>
        <v>0</v>
      </c>
      <c r="BW114" s="24">
        <f t="shared" si="93"/>
        <v>0</v>
      </c>
      <c r="BX114" s="24">
        <f t="shared" si="88"/>
        <v>0</v>
      </c>
      <c r="BY114" s="24">
        <f t="shared" si="88"/>
        <v>0</v>
      </c>
      <c r="BZ114" s="24">
        <f t="shared" si="88"/>
        <v>0</v>
      </c>
      <c r="CA114" s="24">
        <f t="shared" si="88"/>
        <v>0</v>
      </c>
      <c r="CB114" s="24">
        <f t="shared" si="88"/>
        <v>0</v>
      </c>
      <c r="CC114" s="24">
        <f t="shared" si="88"/>
        <v>0</v>
      </c>
      <c r="CD114" s="24">
        <f t="shared" si="88"/>
        <v>3000000</v>
      </c>
      <c r="CE114" s="27">
        <f t="shared" si="48"/>
        <v>0.99516129032258061</v>
      </c>
      <c r="CF114" s="24">
        <f t="shared" si="49"/>
        <v>617000000</v>
      </c>
      <c r="CG114" s="24"/>
      <c r="CH114" s="24"/>
      <c r="CI114" s="24"/>
      <c r="CJ114" s="24"/>
      <c r="CK114" s="24"/>
      <c r="CL114" s="24"/>
      <c r="CM114" s="24">
        <f>+[8]AGOSTO!$P$279</f>
        <v>265157791</v>
      </c>
      <c r="CN114" s="24"/>
      <c r="CO114" s="24"/>
      <c r="CP114" s="24"/>
      <c r="CQ114" s="24"/>
      <c r="CR114" s="24"/>
      <c r="CS114" s="24"/>
      <c r="CT114" s="24"/>
      <c r="CU114" s="24"/>
      <c r="CV114" s="24">
        <f>+[8]AGOSTO!$Y$279</f>
        <v>113002893</v>
      </c>
      <c r="CW114" s="24"/>
      <c r="CX114" s="24">
        <f>+[8]AGOSTO!$H$286</f>
        <v>238839316</v>
      </c>
      <c r="CY114" s="24"/>
      <c r="CZ114" s="24"/>
      <c r="DA114" s="24"/>
      <c r="DB114" s="24"/>
      <c r="DC114" s="24"/>
      <c r="DD114" s="27">
        <f t="shared" si="59"/>
        <v>4.8387096774193949E-3</v>
      </c>
      <c r="DE114" s="24">
        <f t="shared" si="89"/>
        <v>3000000</v>
      </c>
      <c r="DF114" s="24">
        <f t="shared" ref="DF114:DT128" si="96">+J114-CG114</f>
        <v>0</v>
      </c>
      <c r="DG114" s="24">
        <f t="shared" si="96"/>
        <v>0</v>
      </c>
      <c r="DH114" s="24">
        <f t="shared" si="96"/>
        <v>0</v>
      </c>
      <c r="DI114" s="24">
        <f t="shared" si="96"/>
        <v>0</v>
      </c>
      <c r="DJ114" s="24">
        <f t="shared" si="96"/>
        <v>0</v>
      </c>
      <c r="DK114" s="24">
        <f t="shared" si="96"/>
        <v>0</v>
      </c>
      <c r="DL114" s="24">
        <f t="shared" si="96"/>
        <v>0</v>
      </c>
      <c r="DM114" s="24">
        <f t="shared" si="96"/>
        <v>0</v>
      </c>
      <c r="DN114" s="24">
        <f t="shared" si="96"/>
        <v>0</v>
      </c>
      <c r="DO114" s="24">
        <f t="shared" si="96"/>
        <v>0</v>
      </c>
      <c r="DP114" s="24">
        <f t="shared" si="96"/>
        <v>0</v>
      </c>
      <c r="DQ114" s="24">
        <f t="shared" si="96"/>
        <v>0</v>
      </c>
      <c r="DR114" s="24">
        <f t="shared" si="96"/>
        <v>0</v>
      </c>
      <c r="DS114" s="24">
        <f t="shared" si="96"/>
        <v>0</v>
      </c>
      <c r="DT114" s="24">
        <f t="shared" si="96"/>
        <v>0</v>
      </c>
      <c r="DU114" s="24">
        <f t="shared" si="94"/>
        <v>0</v>
      </c>
      <c r="DV114" s="24">
        <f t="shared" si="91"/>
        <v>0</v>
      </c>
      <c r="DW114" s="24">
        <f t="shared" si="91"/>
        <v>0</v>
      </c>
      <c r="DX114" s="24">
        <f t="shared" si="91"/>
        <v>0</v>
      </c>
      <c r="DY114" s="24">
        <f t="shared" si="91"/>
        <v>0</v>
      </c>
      <c r="DZ114" s="24">
        <f t="shared" si="91"/>
        <v>0</v>
      </c>
      <c r="EA114" s="24">
        <f t="shared" si="91"/>
        <v>0</v>
      </c>
      <c r="EB114" s="24">
        <f t="shared" si="91"/>
        <v>3000000</v>
      </c>
      <c r="ED114" s="150"/>
      <c r="EE114" s="45">
        <f t="shared" si="74"/>
        <v>620000000</v>
      </c>
      <c r="EF114" s="45">
        <f t="shared" si="75"/>
        <v>617000000</v>
      </c>
      <c r="EG114" s="159">
        <f t="shared" si="76"/>
        <v>0.99516129032258061</v>
      </c>
    </row>
    <row r="115" spans="1:137" ht="32.25" hidden="1" customHeight="1" x14ac:dyDescent="0.25">
      <c r="A115" s="208"/>
      <c r="B115" s="259" t="s">
        <v>331</v>
      </c>
      <c r="C115" s="260" t="s">
        <v>332</v>
      </c>
      <c r="D115" s="260" t="s">
        <v>333</v>
      </c>
      <c r="E115" s="260">
        <v>211</v>
      </c>
      <c r="F115" s="261" t="s">
        <v>334</v>
      </c>
      <c r="G115" s="24">
        <f t="shared" si="86"/>
        <v>173785122</v>
      </c>
      <c r="H115" s="25">
        <f>+'[15]SA 2020 2024'!$F32</f>
        <v>815000000</v>
      </c>
      <c r="I115" s="25">
        <f t="shared" si="92"/>
        <v>641214878</v>
      </c>
      <c r="J115" s="47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83">
        <v>150000000</v>
      </c>
      <c r="AB115" s="24"/>
      <c r="AC115" s="24"/>
      <c r="AD115" s="24"/>
      <c r="AE115" s="24"/>
      <c r="AF115" s="26">
        <f>3785122+20000000</f>
        <v>23785122</v>
      </c>
      <c r="AG115" s="27">
        <f t="shared" si="58"/>
        <v>0.9782195279064223</v>
      </c>
      <c r="AH115" s="24">
        <f t="shared" ref="AH115:AH128" si="97">SUM(AI115:BE115)</f>
        <v>170000000</v>
      </c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>
        <f>+'[10]MAYO 2020'!$AA$264</f>
        <v>150000000</v>
      </c>
      <c r="BA115" s="24"/>
      <c r="BB115" s="24"/>
      <c r="BC115" s="24"/>
      <c r="BD115" s="24"/>
      <c r="BE115" s="24">
        <f>+[2]OCTUBRE!$AG$342</f>
        <v>20000000</v>
      </c>
      <c r="BF115" s="27">
        <f t="shared" si="60"/>
        <v>2.1780472093577696E-2</v>
      </c>
      <c r="BG115" s="24">
        <f t="shared" si="67"/>
        <v>3785122</v>
      </c>
      <c r="BH115" s="24">
        <f t="shared" si="95"/>
        <v>0</v>
      </c>
      <c r="BI115" s="24">
        <f t="shared" si="95"/>
        <v>0</v>
      </c>
      <c r="BJ115" s="24">
        <f t="shared" si="95"/>
        <v>0</v>
      </c>
      <c r="BK115" s="24">
        <f t="shared" si="95"/>
        <v>0</v>
      </c>
      <c r="BL115" s="24">
        <f t="shared" si="95"/>
        <v>0</v>
      </c>
      <c r="BM115" s="24">
        <f t="shared" si="95"/>
        <v>0</v>
      </c>
      <c r="BN115" s="24">
        <f t="shared" si="95"/>
        <v>0</v>
      </c>
      <c r="BO115" s="24">
        <f t="shared" si="95"/>
        <v>0</v>
      </c>
      <c r="BP115" s="24">
        <f t="shared" si="95"/>
        <v>0</v>
      </c>
      <c r="BQ115" s="24">
        <f t="shared" si="95"/>
        <v>0</v>
      </c>
      <c r="BR115" s="24">
        <f t="shared" si="95"/>
        <v>0</v>
      </c>
      <c r="BS115" s="24">
        <f t="shared" si="95"/>
        <v>0</v>
      </c>
      <c r="BT115" s="24">
        <f t="shared" si="95"/>
        <v>0</v>
      </c>
      <c r="BU115" s="24">
        <f t="shared" si="95"/>
        <v>0</v>
      </c>
      <c r="BV115" s="24">
        <f t="shared" si="95"/>
        <v>0</v>
      </c>
      <c r="BW115" s="24">
        <f t="shared" si="93"/>
        <v>0</v>
      </c>
      <c r="BX115" s="24">
        <f t="shared" si="88"/>
        <v>0</v>
      </c>
      <c r="BY115" s="24">
        <f t="shared" si="88"/>
        <v>0</v>
      </c>
      <c r="BZ115" s="24">
        <f t="shared" si="88"/>
        <v>0</v>
      </c>
      <c r="CA115" s="24">
        <f t="shared" si="88"/>
        <v>0</v>
      </c>
      <c r="CB115" s="24">
        <f t="shared" si="88"/>
        <v>0</v>
      </c>
      <c r="CC115" s="24">
        <f t="shared" si="88"/>
        <v>0</v>
      </c>
      <c r="CD115" s="24">
        <f t="shared" si="88"/>
        <v>3785122</v>
      </c>
      <c r="CE115" s="27">
        <f t="shared" ref="CE115:CE129" si="98">CF115/G115</f>
        <v>0.86097816244591985</v>
      </c>
      <c r="CF115" s="24">
        <f t="shared" ref="CF115:CF128" si="99">SUM(CG115:DC115)</f>
        <v>149625195</v>
      </c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>
        <f>+[4]JULIO!$H$287</f>
        <v>149625195</v>
      </c>
      <c r="CY115" s="24"/>
      <c r="CZ115" s="24"/>
      <c r="DA115" s="24"/>
      <c r="DB115" s="24"/>
      <c r="DC115" s="24"/>
      <c r="DD115" s="27">
        <f t="shared" si="59"/>
        <v>0.13902183755408015</v>
      </c>
      <c r="DE115" s="24">
        <f t="shared" si="89"/>
        <v>24159927</v>
      </c>
      <c r="DF115" s="24">
        <f t="shared" si="96"/>
        <v>0</v>
      </c>
      <c r="DG115" s="24">
        <f t="shared" si="96"/>
        <v>0</v>
      </c>
      <c r="DH115" s="24">
        <f t="shared" si="96"/>
        <v>0</v>
      </c>
      <c r="DI115" s="24">
        <f t="shared" si="96"/>
        <v>0</v>
      </c>
      <c r="DJ115" s="24">
        <f t="shared" si="96"/>
        <v>0</v>
      </c>
      <c r="DK115" s="24">
        <f t="shared" si="96"/>
        <v>0</v>
      </c>
      <c r="DL115" s="24">
        <f t="shared" si="96"/>
        <v>0</v>
      </c>
      <c r="DM115" s="24">
        <f t="shared" si="96"/>
        <v>0</v>
      </c>
      <c r="DN115" s="24">
        <f t="shared" si="96"/>
        <v>0</v>
      </c>
      <c r="DO115" s="24">
        <f t="shared" si="96"/>
        <v>0</v>
      </c>
      <c r="DP115" s="24">
        <f t="shared" si="96"/>
        <v>0</v>
      </c>
      <c r="DQ115" s="24">
        <f t="shared" si="96"/>
        <v>0</v>
      </c>
      <c r="DR115" s="24">
        <f t="shared" si="96"/>
        <v>0</v>
      </c>
      <c r="DS115" s="24">
        <f t="shared" si="96"/>
        <v>0</v>
      </c>
      <c r="DT115" s="24">
        <f t="shared" si="96"/>
        <v>0</v>
      </c>
      <c r="DU115" s="24">
        <f t="shared" si="94"/>
        <v>0</v>
      </c>
      <c r="DV115" s="24">
        <f t="shared" si="91"/>
        <v>0</v>
      </c>
      <c r="DW115" s="24">
        <f t="shared" si="91"/>
        <v>374805</v>
      </c>
      <c r="DX115" s="24">
        <f t="shared" si="91"/>
        <v>0</v>
      </c>
      <c r="DY115" s="24">
        <f t="shared" si="91"/>
        <v>0</v>
      </c>
      <c r="DZ115" s="24">
        <f t="shared" si="91"/>
        <v>0</v>
      </c>
      <c r="EA115" s="24">
        <f t="shared" si="91"/>
        <v>0</v>
      </c>
      <c r="EB115" s="24">
        <f t="shared" si="91"/>
        <v>23785122</v>
      </c>
      <c r="ED115" s="150"/>
      <c r="EE115" s="45">
        <f t="shared" si="74"/>
        <v>173785122</v>
      </c>
      <c r="EF115" s="45">
        <f t="shared" si="75"/>
        <v>149625195</v>
      </c>
      <c r="EG115" s="159">
        <f t="shared" si="76"/>
        <v>0.86097816244591985</v>
      </c>
    </row>
    <row r="116" spans="1:137" ht="30" hidden="1" customHeight="1" x14ac:dyDescent="0.25">
      <c r="A116" s="208"/>
      <c r="B116" s="259" t="s">
        <v>331</v>
      </c>
      <c r="C116" s="260" t="s">
        <v>335</v>
      </c>
      <c r="D116" s="260" t="s">
        <v>336</v>
      </c>
      <c r="E116" s="260">
        <v>211</v>
      </c>
      <c r="F116" s="261" t="s">
        <v>240</v>
      </c>
      <c r="G116" s="24">
        <f t="shared" si="86"/>
        <v>95990000</v>
      </c>
      <c r="H116" s="25">
        <f>+'[15]SA 2020 2024'!$F33</f>
        <v>200000000</v>
      </c>
      <c r="I116" s="25">
        <f t="shared" si="92"/>
        <v>104010000</v>
      </c>
      <c r="J116" s="47"/>
      <c r="K116" s="24">
        <v>70000000</v>
      </c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>
        <v>25990000</v>
      </c>
      <c r="AB116" s="24"/>
      <c r="AC116" s="24"/>
      <c r="AD116" s="24"/>
      <c r="AE116" s="24"/>
      <c r="AF116" s="26">
        <v>0</v>
      </c>
      <c r="AG116" s="27">
        <f t="shared" si="58"/>
        <v>0.93455901656422546</v>
      </c>
      <c r="AH116" s="24">
        <f t="shared" si="97"/>
        <v>89708320</v>
      </c>
      <c r="AI116" s="24"/>
      <c r="AJ116" s="24">
        <f>+[4]JULIO!$K$299</f>
        <v>63718320</v>
      </c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>
        <f>+[3]SEPTIEMBRE!$AA$328</f>
        <v>25990000</v>
      </c>
      <c r="BA116" s="24"/>
      <c r="BB116" s="24"/>
      <c r="BC116" s="24"/>
      <c r="BD116" s="24"/>
      <c r="BE116" s="24"/>
      <c r="BF116" s="27">
        <f t="shared" si="60"/>
        <v>6.5440983435774536E-2</v>
      </c>
      <c r="BG116" s="24">
        <f t="shared" si="67"/>
        <v>6281680</v>
      </c>
      <c r="BH116" s="24">
        <f t="shared" si="95"/>
        <v>0</v>
      </c>
      <c r="BI116" s="24">
        <f t="shared" si="95"/>
        <v>6281680</v>
      </c>
      <c r="BJ116" s="24">
        <f t="shared" si="95"/>
        <v>0</v>
      </c>
      <c r="BK116" s="24">
        <f t="shared" si="95"/>
        <v>0</v>
      </c>
      <c r="BL116" s="24">
        <f t="shared" si="95"/>
        <v>0</v>
      </c>
      <c r="BM116" s="24">
        <f t="shared" si="95"/>
        <v>0</v>
      </c>
      <c r="BN116" s="24">
        <f t="shared" si="95"/>
        <v>0</v>
      </c>
      <c r="BO116" s="24">
        <f t="shared" si="95"/>
        <v>0</v>
      </c>
      <c r="BP116" s="24">
        <f t="shared" si="95"/>
        <v>0</v>
      </c>
      <c r="BQ116" s="24">
        <f t="shared" si="95"/>
        <v>0</v>
      </c>
      <c r="BR116" s="24">
        <f t="shared" si="95"/>
        <v>0</v>
      </c>
      <c r="BS116" s="24">
        <f t="shared" si="95"/>
        <v>0</v>
      </c>
      <c r="BT116" s="24">
        <f t="shared" si="95"/>
        <v>0</v>
      </c>
      <c r="BU116" s="24">
        <f t="shared" si="95"/>
        <v>0</v>
      </c>
      <c r="BV116" s="24">
        <f t="shared" si="95"/>
        <v>0</v>
      </c>
      <c r="BW116" s="24">
        <f t="shared" si="93"/>
        <v>0</v>
      </c>
      <c r="BX116" s="24">
        <f t="shared" si="88"/>
        <v>0</v>
      </c>
      <c r="BY116" s="24">
        <f t="shared" si="88"/>
        <v>0</v>
      </c>
      <c r="BZ116" s="24">
        <f t="shared" si="88"/>
        <v>0</v>
      </c>
      <c r="CA116" s="24">
        <f t="shared" si="88"/>
        <v>0</v>
      </c>
      <c r="CB116" s="24">
        <f t="shared" si="88"/>
        <v>0</v>
      </c>
      <c r="CC116" s="24">
        <f t="shared" si="88"/>
        <v>0</v>
      </c>
      <c r="CD116" s="24">
        <f t="shared" si="88"/>
        <v>0</v>
      </c>
      <c r="CE116" s="27">
        <f t="shared" si="98"/>
        <v>0.93443399312428377</v>
      </c>
      <c r="CF116" s="24">
        <f t="shared" si="99"/>
        <v>89696319</v>
      </c>
      <c r="CG116" s="24"/>
      <c r="CH116" s="24">
        <f>+[4]JULIO!$H$297</f>
        <v>63706319</v>
      </c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>
        <f>+[3]SEPTIEMBRE!$H$341</f>
        <v>25990000</v>
      </c>
      <c r="CY116" s="24"/>
      <c r="CZ116" s="24"/>
      <c r="DA116" s="24"/>
      <c r="DB116" s="24"/>
      <c r="DC116" s="24"/>
      <c r="DD116" s="27">
        <f t="shared" si="59"/>
        <v>6.5566006875716232E-2</v>
      </c>
      <c r="DE116" s="24">
        <f t="shared" si="89"/>
        <v>6293681</v>
      </c>
      <c r="DF116" s="24">
        <f t="shared" si="96"/>
        <v>0</v>
      </c>
      <c r="DG116" s="24">
        <f t="shared" si="96"/>
        <v>6293681</v>
      </c>
      <c r="DH116" s="24">
        <f t="shared" si="96"/>
        <v>0</v>
      </c>
      <c r="DI116" s="24">
        <f t="shared" si="96"/>
        <v>0</v>
      </c>
      <c r="DJ116" s="24">
        <f t="shared" si="96"/>
        <v>0</v>
      </c>
      <c r="DK116" s="24">
        <f t="shared" si="96"/>
        <v>0</v>
      </c>
      <c r="DL116" s="24">
        <f t="shared" si="96"/>
        <v>0</v>
      </c>
      <c r="DM116" s="24">
        <f t="shared" si="96"/>
        <v>0</v>
      </c>
      <c r="DN116" s="24">
        <f t="shared" si="96"/>
        <v>0</v>
      </c>
      <c r="DO116" s="24">
        <f t="shared" si="96"/>
        <v>0</v>
      </c>
      <c r="DP116" s="24">
        <f t="shared" si="96"/>
        <v>0</v>
      </c>
      <c r="DQ116" s="24">
        <f t="shared" si="96"/>
        <v>0</v>
      </c>
      <c r="DR116" s="24">
        <f t="shared" si="96"/>
        <v>0</v>
      </c>
      <c r="DS116" s="24">
        <f t="shared" si="96"/>
        <v>0</v>
      </c>
      <c r="DT116" s="24">
        <f t="shared" si="96"/>
        <v>0</v>
      </c>
      <c r="DU116" s="24">
        <f t="shared" si="94"/>
        <v>0</v>
      </c>
      <c r="DV116" s="24">
        <f t="shared" si="91"/>
        <v>0</v>
      </c>
      <c r="DW116" s="24">
        <f t="shared" si="91"/>
        <v>0</v>
      </c>
      <c r="DX116" s="24">
        <f t="shared" si="91"/>
        <v>0</v>
      </c>
      <c r="DY116" s="24">
        <f t="shared" si="91"/>
        <v>0</v>
      </c>
      <c r="DZ116" s="24">
        <f t="shared" si="91"/>
        <v>0</v>
      </c>
      <c r="EA116" s="24">
        <f t="shared" si="91"/>
        <v>0</v>
      </c>
      <c r="EB116" s="24">
        <f t="shared" si="91"/>
        <v>0</v>
      </c>
      <c r="ED116" s="150"/>
      <c r="EE116" s="45">
        <f t="shared" si="74"/>
        <v>95990000</v>
      </c>
      <c r="EF116" s="45">
        <f t="shared" si="75"/>
        <v>89696319</v>
      </c>
      <c r="EG116" s="159">
        <f t="shared" si="76"/>
        <v>0.93443399312428377</v>
      </c>
    </row>
    <row r="117" spans="1:137" ht="18" hidden="1" customHeight="1" x14ac:dyDescent="0.25">
      <c r="A117" s="208"/>
      <c r="B117" s="259"/>
      <c r="C117" s="260" t="s">
        <v>337</v>
      </c>
      <c r="D117" s="260" t="s">
        <v>338</v>
      </c>
      <c r="E117" s="260">
        <v>211</v>
      </c>
      <c r="F117" s="261" t="s">
        <v>240</v>
      </c>
      <c r="G117" s="24">
        <f t="shared" si="86"/>
        <v>215399583</v>
      </c>
      <c r="H117" s="25">
        <f>+'[15]SA 2020 2024'!$F34</f>
        <v>281000000</v>
      </c>
      <c r="I117" s="25">
        <f t="shared" si="92"/>
        <v>65600417</v>
      </c>
      <c r="J117" s="47"/>
      <c r="K117" s="24">
        <f>20000000-12000000</f>
        <v>8000000</v>
      </c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>
        <v>207399583</v>
      </c>
      <c r="AB117" s="24"/>
      <c r="AC117" s="24"/>
      <c r="AD117" s="24"/>
      <c r="AE117" s="24"/>
      <c r="AF117" s="26">
        <v>0</v>
      </c>
      <c r="AG117" s="27">
        <f t="shared" si="58"/>
        <v>0.98607239643541933</v>
      </c>
      <c r="AH117" s="24">
        <f t="shared" si="97"/>
        <v>212399583</v>
      </c>
      <c r="AI117" s="24"/>
      <c r="AJ117" s="24">
        <f>+[8]AGOSTO!$K$324</f>
        <v>5000000</v>
      </c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>
        <f>+[3]SEPTIEMBRE!$AA$349</f>
        <v>207399583</v>
      </c>
      <c r="BA117" s="24"/>
      <c r="BB117" s="24"/>
      <c r="BC117" s="24"/>
      <c r="BD117" s="24"/>
      <c r="BE117" s="24"/>
      <c r="BF117" s="27">
        <f t="shared" si="60"/>
        <v>1.3927603564580671E-2</v>
      </c>
      <c r="BG117" s="24">
        <f t="shared" si="67"/>
        <v>3000000</v>
      </c>
      <c r="BH117" s="24">
        <f t="shared" si="95"/>
        <v>0</v>
      </c>
      <c r="BI117" s="24">
        <f t="shared" si="95"/>
        <v>3000000</v>
      </c>
      <c r="BJ117" s="24">
        <f t="shared" si="95"/>
        <v>0</v>
      </c>
      <c r="BK117" s="24">
        <f t="shared" si="95"/>
        <v>0</v>
      </c>
      <c r="BL117" s="24">
        <f t="shared" si="95"/>
        <v>0</v>
      </c>
      <c r="BM117" s="24">
        <f t="shared" si="95"/>
        <v>0</v>
      </c>
      <c r="BN117" s="24">
        <f t="shared" si="95"/>
        <v>0</v>
      </c>
      <c r="BO117" s="24">
        <f t="shared" si="95"/>
        <v>0</v>
      </c>
      <c r="BP117" s="24">
        <f t="shared" si="95"/>
        <v>0</v>
      </c>
      <c r="BQ117" s="24">
        <f t="shared" si="95"/>
        <v>0</v>
      </c>
      <c r="BR117" s="24">
        <f t="shared" si="95"/>
        <v>0</v>
      </c>
      <c r="BS117" s="24">
        <f t="shared" si="95"/>
        <v>0</v>
      </c>
      <c r="BT117" s="24">
        <f t="shared" si="95"/>
        <v>0</v>
      </c>
      <c r="BU117" s="24">
        <f t="shared" si="95"/>
        <v>0</v>
      </c>
      <c r="BV117" s="24">
        <f t="shared" si="95"/>
        <v>0</v>
      </c>
      <c r="BW117" s="24">
        <f t="shared" si="93"/>
        <v>0</v>
      </c>
      <c r="BX117" s="24">
        <f t="shared" si="88"/>
        <v>0</v>
      </c>
      <c r="BY117" s="24">
        <f t="shared" si="88"/>
        <v>0</v>
      </c>
      <c r="BZ117" s="24">
        <f t="shared" si="88"/>
        <v>0</v>
      </c>
      <c r="CA117" s="24">
        <f t="shared" si="88"/>
        <v>0</v>
      </c>
      <c r="CB117" s="24">
        <f t="shared" si="88"/>
        <v>0</v>
      </c>
      <c r="CC117" s="24">
        <f t="shared" si="88"/>
        <v>0</v>
      </c>
      <c r="CD117" s="24">
        <f t="shared" si="88"/>
        <v>0</v>
      </c>
      <c r="CE117" s="27">
        <f t="shared" si="98"/>
        <v>0.97124217273902524</v>
      </c>
      <c r="CF117" s="24">
        <f t="shared" si="99"/>
        <v>209205159</v>
      </c>
      <c r="CG117" s="24"/>
      <c r="CH117" s="24">
        <f>+[3]SEPTIEMBRE!$H$350</f>
        <v>1805576</v>
      </c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>
        <f>+[3]SEPTIEMBRE!$H$359</f>
        <v>207399583</v>
      </c>
      <c r="CY117" s="24"/>
      <c r="CZ117" s="24"/>
      <c r="DA117" s="24"/>
      <c r="DB117" s="24"/>
      <c r="DC117" s="24"/>
      <c r="DD117" s="27">
        <f t="shared" si="59"/>
        <v>2.8757827260974755E-2</v>
      </c>
      <c r="DE117" s="24">
        <f t="shared" si="89"/>
        <v>6194424</v>
      </c>
      <c r="DF117" s="24">
        <f t="shared" si="96"/>
        <v>0</v>
      </c>
      <c r="DG117" s="24">
        <f t="shared" si="96"/>
        <v>6194424</v>
      </c>
      <c r="DH117" s="24">
        <f t="shared" si="96"/>
        <v>0</v>
      </c>
      <c r="DI117" s="24">
        <f t="shared" si="96"/>
        <v>0</v>
      </c>
      <c r="DJ117" s="24">
        <f t="shared" si="96"/>
        <v>0</v>
      </c>
      <c r="DK117" s="24">
        <f t="shared" si="96"/>
        <v>0</v>
      </c>
      <c r="DL117" s="24">
        <f t="shared" si="96"/>
        <v>0</v>
      </c>
      <c r="DM117" s="24">
        <f t="shared" si="96"/>
        <v>0</v>
      </c>
      <c r="DN117" s="24">
        <f t="shared" si="96"/>
        <v>0</v>
      </c>
      <c r="DO117" s="24">
        <f t="shared" si="96"/>
        <v>0</v>
      </c>
      <c r="DP117" s="24">
        <f t="shared" si="96"/>
        <v>0</v>
      </c>
      <c r="DQ117" s="24">
        <f t="shared" si="96"/>
        <v>0</v>
      </c>
      <c r="DR117" s="24">
        <f t="shared" si="96"/>
        <v>0</v>
      </c>
      <c r="DS117" s="24">
        <f t="shared" si="96"/>
        <v>0</v>
      </c>
      <c r="DT117" s="24">
        <f t="shared" si="96"/>
        <v>0</v>
      </c>
      <c r="DU117" s="24">
        <f t="shared" si="94"/>
        <v>0</v>
      </c>
      <c r="DV117" s="24">
        <f t="shared" si="91"/>
        <v>0</v>
      </c>
      <c r="DW117" s="24">
        <f t="shared" si="91"/>
        <v>0</v>
      </c>
      <c r="DX117" s="24">
        <f t="shared" si="91"/>
        <v>0</v>
      </c>
      <c r="DY117" s="24">
        <f t="shared" si="91"/>
        <v>0</v>
      </c>
      <c r="DZ117" s="24">
        <f t="shared" si="91"/>
        <v>0</v>
      </c>
      <c r="EA117" s="24">
        <f t="shared" si="91"/>
        <v>0</v>
      </c>
      <c r="EB117" s="24">
        <f t="shared" si="91"/>
        <v>0</v>
      </c>
      <c r="ED117" s="150"/>
      <c r="EE117" s="45">
        <f t="shared" si="74"/>
        <v>215399583</v>
      </c>
      <c r="EF117" s="45">
        <f t="shared" si="75"/>
        <v>209205159</v>
      </c>
      <c r="EG117" s="159">
        <f t="shared" si="76"/>
        <v>0.97124217273902524</v>
      </c>
    </row>
    <row r="118" spans="1:137" ht="19.5" hidden="1" customHeight="1" x14ac:dyDescent="0.25">
      <c r="A118" s="208"/>
      <c r="B118" s="259"/>
      <c r="C118" s="260" t="s">
        <v>339</v>
      </c>
      <c r="D118" s="260" t="s">
        <v>340</v>
      </c>
      <c r="E118" s="260">
        <v>211</v>
      </c>
      <c r="F118" s="261" t="s">
        <v>240</v>
      </c>
      <c r="G118" s="24">
        <f t="shared" si="86"/>
        <v>380000000</v>
      </c>
      <c r="H118" s="25">
        <f>+'[15]SA 2020 2024'!$F35</f>
        <v>470000000</v>
      </c>
      <c r="I118" s="25">
        <f t="shared" si="92"/>
        <v>90000000</v>
      </c>
      <c r="J118" s="47"/>
      <c r="K118" s="24">
        <f>400000000-20000000</f>
        <v>380000000</v>
      </c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6">
        <v>0</v>
      </c>
      <c r="AG118" s="27">
        <f t="shared" si="58"/>
        <v>1</v>
      </c>
      <c r="AH118" s="24">
        <f t="shared" si="97"/>
        <v>380000000</v>
      </c>
      <c r="AI118" s="24"/>
      <c r="AJ118" s="24">
        <f>+[4]JULIO!$K$326</f>
        <v>380000000</v>
      </c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7">
        <f t="shared" si="60"/>
        <v>0</v>
      </c>
      <c r="BG118" s="24">
        <f t="shared" si="67"/>
        <v>0</v>
      </c>
      <c r="BH118" s="24">
        <f t="shared" si="95"/>
        <v>0</v>
      </c>
      <c r="BI118" s="24">
        <f t="shared" si="95"/>
        <v>0</v>
      </c>
      <c r="BJ118" s="24">
        <f t="shared" si="95"/>
        <v>0</v>
      </c>
      <c r="BK118" s="24">
        <f t="shared" si="95"/>
        <v>0</v>
      </c>
      <c r="BL118" s="24">
        <f t="shared" si="95"/>
        <v>0</v>
      </c>
      <c r="BM118" s="24">
        <f t="shared" si="95"/>
        <v>0</v>
      </c>
      <c r="BN118" s="24">
        <f t="shared" si="95"/>
        <v>0</v>
      </c>
      <c r="BO118" s="24">
        <f t="shared" si="95"/>
        <v>0</v>
      </c>
      <c r="BP118" s="24">
        <f t="shared" si="95"/>
        <v>0</v>
      </c>
      <c r="BQ118" s="24">
        <f t="shared" si="95"/>
        <v>0</v>
      </c>
      <c r="BR118" s="24">
        <f t="shared" si="95"/>
        <v>0</v>
      </c>
      <c r="BS118" s="24">
        <f t="shared" si="95"/>
        <v>0</v>
      </c>
      <c r="BT118" s="24">
        <f t="shared" si="95"/>
        <v>0</v>
      </c>
      <c r="BU118" s="24">
        <f t="shared" si="95"/>
        <v>0</v>
      </c>
      <c r="BV118" s="24">
        <f t="shared" si="95"/>
        <v>0</v>
      </c>
      <c r="BW118" s="24">
        <f t="shared" si="93"/>
        <v>0</v>
      </c>
      <c r="BX118" s="24">
        <f t="shared" si="88"/>
        <v>0</v>
      </c>
      <c r="BY118" s="24">
        <f t="shared" si="88"/>
        <v>0</v>
      </c>
      <c r="BZ118" s="24">
        <f t="shared" si="88"/>
        <v>0</v>
      </c>
      <c r="CA118" s="24">
        <f t="shared" si="88"/>
        <v>0</v>
      </c>
      <c r="CB118" s="24">
        <f t="shared" si="88"/>
        <v>0</v>
      </c>
      <c r="CC118" s="24">
        <f t="shared" si="88"/>
        <v>0</v>
      </c>
      <c r="CD118" s="24">
        <f t="shared" si="88"/>
        <v>0</v>
      </c>
      <c r="CE118" s="27">
        <f t="shared" si="98"/>
        <v>0.99985332631578949</v>
      </c>
      <c r="CF118" s="24">
        <f t="shared" si="99"/>
        <v>379944264</v>
      </c>
      <c r="CG118" s="24"/>
      <c r="CH118" s="24">
        <f>+[4]JULIO!$H$324</f>
        <v>379944264</v>
      </c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7">
        <f t="shared" si="59"/>
        <v>1.4667368421050764E-4</v>
      </c>
      <c r="DE118" s="24">
        <f t="shared" si="89"/>
        <v>55736</v>
      </c>
      <c r="DF118" s="24">
        <f t="shared" si="96"/>
        <v>0</v>
      </c>
      <c r="DG118" s="24">
        <f t="shared" si="96"/>
        <v>55736</v>
      </c>
      <c r="DH118" s="24">
        <f t="shared" si="96"/>
        <v>0</v>
      </c>
      <c r="DI118" s="24">
        <f t="shared" si="96"/>
        <v>0</v>
      </c>
      <c r="DJ118" s="24">
        <f t="shared" si="96"/>
        <v>0</v>
      </c>
      <c r="DK118" s="24">
        <f t="shared" si="96"/>
        <v>0</v>
      </c>
      <c r="DL118" s="24">
        <f t="shared" si="96"/>
        <v>0</v>
      </c>
      <c r="DM118" s="24">
        <f t="shared" si="96"/>
        <v>0</v>
      </c>
      <c r="DN118" s="24">
        <f t="shared" si="96"/>
        <v>0</v>
      </c>
      <c r="DO118" s="24">
        <f t="shared" si="96"/>
        <v>0</v>
      </c>
      <c r="DP118" s="24">
        <f t="shared" si="96"/>
        <v>0</v>
      </c>
      <c r="DQ118" s="24">
        <f t="shared" si="96"/>
        <v>0</v>
      </c>
      <c r="DR118" s="24">
        <f t="shared" si="96"/>
        <v>0</v>
      </c>
      <c r="DS118" s="24">
        <f t="shared" si="96"/>
        <v>0</v>
      </c>
      <c r="DT118" s="24">
        <f t="shared" si="96"/>
        <v>0</v>
      </c>
      <c r="DU118" s="24">
        <f t="shared" si="94"/>
        <v>0</v>
      </c>
      <c r="DV118" s="24">
        <f t="shared" si="91"/>
        <v>0</v>
      </c>
      <c r="DW118" s="24">
        <f t="shared" si="91"/>
        <v>0</v>
      </c>
      <c r="DX118" s="24">
        <f t="shared" si="91"/>
        <v>0</v>
      </c>
      <c r="DY118" s="24">
        <f t="shared" si="91"/>
        <v>0</v>
      </c>
      <c r="DZ118" s="24">
        <f t="shared" si="91"/>
        <v>0</v>
      </c>
      <c r="EA118" s="24">
        <f t="shared" si="91"/>
        <v>0</v>
      </c>
      <c r="EB118" s="24">
        <f t="shared" si="91"/>
        <v>0</v>
      </c>
      <c r="ED118" s="150"/>
      <c r="EE118" s="45">
        <f t="shared" si="74"/>
        <v>380000000</v>
      </c>
      <c r="EF118" s="45">
        <f t="shared" si="75"/>
        <v>379944264</v>
      </c>
      <c r="EG118" s="159">
        <f t="shared" si="76"/>
        <v>0.99985332631578949</v>
      </c>
    </row>
    <row r="119" spans="1:137" ht="27.75" hidden="1" customHeight="1" x14ac:dyDescent="0.25">
      <c r="A119" s="208"/>
      <c r="B119" s="259"/>
      <c r="C119" s="260" t="s">
        <v>341</v>
      </c>
      <c r="D119" s="260" t="s">
        <v>342</v>
      </c>
      <c r="E119" s="260">
        <v>211</v>
      </c>
      <c r="F119" s="261" t="s">
        <v>343</v>
      </c>
      <c r="G119" s="24">
        <f t="shared" si="86"/>
        <v>413000000</v>
      </c>
      <c r="H119" s="25">
        <f>+'[15]SA 2020 2024'!$F36</f>
        <v>500000000</v>
      </c>
      <c r="I119" s="25">
        <f t="shared" si="92"/>
        <v>87000000</v>
      </c>
      <c r="J119" s="47"/>
      <c r="K119" s="24">
        <v>110000000</v>
      </c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>
        <v>300000000</v>
      </c>
      <c r="AB119" s="24"/>
      <c r="AC119" s="24"/>
      <c r="AD119" s="24"/>
      <c r="AE119" s="24"/>
      <c r="AF119" s="26">
        <v>3000000</v>
      </c>
      <c r="AG119" s="27">
        <f t="shared" si="58"/>
        <v>0.67228689104116224</v>
      </c>
      <c r="AH119" s="24">
        <f t="shared" si="97"/>
        <v>277654486</v>
      </c>
      <c r="AI119" s="24"/>
      <c r="AJ119" s="24">
        <f>+[2]OCTUBRE!$K$457</f>
        <v>106958861</v>
      </c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>
        <f>+[8]AGOSTO!$AA$385</f>
        <v>170695625</v>
      </c>
      <c r="BA119" s="24"/>
      <c r="BB119" s="24"/>
      <c r="BC119" s="24"/>
      <c r="BD119" s="24"/>
      <c r="BE119" s="24"/>
      <c r="BF119" s="27">
        <f t="shared" si="60"/>
        <v>0.32771310895883776</v>
      </c>
      <c r="BG119" s="24">
        <f t="shared" si="67"/>
        <v>135345514</v>
      </c>
      <c r="BH119" s="24">
        <f t="shared" si="95"/>
        <v>0</v>
      </c>
      <c r="BI119" s="24">
        <f t="shared" si="95"/>
        <v>3041139</v>
      </c>
      <c r="BJ119" s="24">
        <f t="shared" si="95"/>
        <v>0</v>
      </c>
      <c r="BK119" s="24">
        <f t="shared" si="95"/>
        <v>0</v>
      </c>
      <c r="BL119" s="24">
        <f t="shared" si="95"/>
        <v>0</v>
      </c>
      <c r="BM119" s="24">
        <f t="shared" si="95"/>
        <v>0</v>
      </c>
      <c r="BN119" s="24">
        <f t="shared" si="95"/>
        <v>0</v>
      </c>
      <c r="BO119" s="24">
        <f t="shared" si="95"/>
        <v>0</v>
      </c>
      <c r="BP119" s="24">
        <f t="shared" si="95"/>
        <v>0</v>
      </c>
      <c r="BQ119" s="24">
        <f t="shared" si="95"/>
        <v>0</v>
      </c>
      <c r="BR119" s="24">
        <f t="shared" si="95"/>
        <v>0</v>
      </c>
      <c r="BS119" s="24">
        <f t="shared" si="95"/>
        <v>0</v>
      </c>
      <c r="BT119" s="24">
        <f t="shared" si="95"/>
        <v>0</v>
      </c>
      <c r="BU119" s="24">
        <f t="shared" si="95"/>
        <v>0</v>
      </c>
      <c r="BV119" s="24">
        <f t="shared" si="95"/>
        <v>0</v>
      </c>
      <c r="BW119" s="24">
        <f t="shared" si="93"/>
        <v>0</v>
      </c>
      <c r="BX119" s="24">
        <f t="shared" si="88"/>
        <v>0</v>
      </c>
      <c r="BY119" s="24">
        <f t="shared" si="88"/>
        <v>129304375</v>
      </c>
      <c r="BZ119" s="24">
        <f t="shared" si="88"/>
        <v>0</v>
      </c>
      <c r="CA119" s="24">
        <f t="shared" si="88"/>
        <v>0</v>
      </c>
      <c r="CB119" s="24">
        <f t="shared" si="88"/>
        <v>0</v>
      </c>
      <c r="CC119" s="24">
        <f t="shared" si="88"/>
        <v>0</v>
      </c>
      <c r="CD119" s="24">
        <f t="shared" si="88"/>
        <v>3000000</v>
      </c>
      <c r="CE119" s="27">
        <f t="shared" si="98"/>
        <v>0.57536029297820823</v>
      </c>
      <c r="CF119" s="24">
        <f t="shared" si="99"/>
        <v>237623801</v>
      </c>
      <c r="CG119" s="24"/>
      <c r="CH119" s="24">
        <f>+[8]AGOSTO!$H$386+[8]AGOSTO!$H$389+[3]SEPTIEMBRE!$H$448</f>
        <v>79424170</v>
      </c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>
        <f>+[8]AGOSTO!$H$396+[3]SEPTIEMBRE!$H$442</f>
        <v>158199631</v>
      </c>
      <c r="CY119" s="24"/>
      <c r="CZ119" s="24"/>
      <c r="DA119" s="24"/>
      <c r="DB119" s="24"/>
      <c r="DC119" s="24"/>
      <c r="DD119" s="27">
        <f t="shared" si="59"/>
        <v>0.42463970702179177</v>
      </c>
      <c r="DE119" s="24">
        <f t="shared" si="89"/>
        <v>175376199</v>
      </c>
      <c r="DF119" s="24">
        <f t="shared" si="96"/>
        <v>0</v>
      </c>
      <c r="DG119" s="24">
        <f t="shared" si="96"/>
        <v>30575830</v>
      </c>
      <c r="DH119" s="24">
        <f t="shared" si="96"/>
        <v>0</v>
      </c>
      <c r="DI119" s="24">
        <f t="shared" si="96"/>
        <v>0</v>
      </c>
      <c r="DJ119" s="24">
        <f t="shared" si="96"/>
        <v>0</v>
      </c>
      <c r="DK119" s="24">
        <f t="shared" si="96"/>
        <v>0</v>
      </c>
      <c r="DL119" s="24">
        <f t="shared" si="96"/>
        <v>0</v>
      </c>
      <c r="DM119" s="24">
        <f t="shared" si="96"/>
        <v>0</v>
      </c>
      <c r="DN119" s="24">
        <f t="shared" si="96"/>
        <v>0</v>
      </c>
      <c r="DO119" s="24">
        <f t="shared" si="96"/>
        <v>0</v>
      </c>
      <c r="DP119" s="24">
        <f t="shared" si="96"/>
        <v>0</v>
      </c>
      <c r="DQ119" s="24">
        <f t="shared" si="96"/>
        <v>0</v>
      </c>
      <c r="DR119" s="24">
        <f t="shared" si="96"/>
        <v>0</v>
      </c>
      <c r="DS119" s="24">
        <f t="shared" si="96"/>
        <v>0</v>
      </c>
      <c r="DT119" s="24">
        <f t="shared" si="96"/>
        <v>0</v>
      </c>
      <c r="DU119" s="24">
        <f t="shared" si="94"/>
        <v>0</v>
      </c>
      <c r="DV119" s="24">
        <f t="shared" si="91"/>
        <v>0</v>
      </c>
      <c r="DW119" s="24">
        <f t="shared" si="91"/>
        <v>141800369</v>
      </c>
      <c r="DX119" s="24">
        <f t="shared" si="91"/>
        <v>0</v>
      </c>
      <c r="DY119" s="24">
        <f t="shared" si="91"/>
        <v>0</v>
      </c>
      <c r="DZ119" s="24">
        <f t="shared" si="91"/>
        <v>0</v>
      </c>
      <c r="EA119" s="24">
        <f t="shared" si="91"/>
        <v>0</v>
      </c>
      <c r="EB119" s="24">
        <f t="shared" si="91"/>
        <v>3000000</v>
      </c>
      <c r="ED119" s="150"/>
      <c r="EE119" s="45">
        <f t="shared" si="74"/>
        <v>413000000</v>
      </c>
      <c r="EF119" s="45">
        <f t="shared" si="75"/>
        <v>237623801</v>
      </c>
      <c r="EG119" s="159">
        <f t="shared" si="76"/>
        <v>0.57536029297820823</v>
      </c>
    </row>
    <row r="120" spans="1:137" ht="21" hidden="1" customHeight="1" x14ac:dyDescent="0.25">
      <c r="A120" s="208"/>
      <c r="B120" s="259" t="s">
        <v>344</v>
      </c>
      <c r="C120" s="260" t="s">
        <v>345</v>
      </c>
      <c r="D120" s="260" t="s">
        <v>346</v>
      </c>
      <c r="E120" s="260">
        <v>510</v>
      </c>
      <c r="F120" s="261" t="s">
        <v>240</v>
      </c>
      <c r="G120" s="24">
        <f t="shared" si="86"/>
        <v>221889510</v>
      </c>
      <c r="H120" s="25">
        <f>+'[15]SA 2020 2024'!$F42</f>
        <v>220000000</v>
      </c>
      <c r="I120" s="25">
        <f t="shared" si="92"/>
        <v>-1889510</v>
      </c>
      <c r="J120" s="47"/>
      <c r="K120" s="24">
        <f>100000000+8000000</f>
        <v>108000000</v>
      </c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>
        <f>58559428+55330082</f>
        <v>113889510</v>
      </c>
      <c r="AB120" s="24"/>
      <c r="AC120" s="24"/>
      <c r="AD120" s="24"/>
      <c r="AE120" s="24"/>
      <c r="AF120" s="24">
        <v>0</v>
      </c>
      <c r="AG120" s="27">
        <f t="shared" si="58"/>
        <v>0.87727145821359465</v>
      </c>
      <c r="AH120" s="24">
        <f t="shared" si="97"/>
        <v>194657334</v>
      </c>
      <c r="AI120" s="24"/>
      <c r="AJ120" s="24">
        <f>+'[9]ENERO 2020'!$K$2844</f>
        <v>91850000</v>
      </c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>
        <f>+[3]SEPTIEMBRE!$AA$2955</f>
        <v>102807334</v>
      </c>
      <c r="BA120" s="24"/>
      <c r="BB120" s="24"/>
      <c r="BC120" s="24"/>
      <c r="BD120" s="24"/>
      <c r="BE120" s="24"/>
      <c r="BF120" s="27">
        <f t="shared" si="60"/>
        <v>0.12272854178640535</v>
      </c>
      <c r="BG120" s="24">
        <f t="shared" si="67"/>
        <v>27232176</v>
      </c>
      <c r="BH120" s="24">
        <f t="shared" si="95"/>
        <v>0</v>
      </c>
      <c r="BI120" s="24">
        <f t="shared" si="95"/>
        <v>16150000</v>
      </c>
      <c r="BJ120" s="24">
        <f t="shared" si="95"/>
        <v>0</v>
      </c>
      <c r="BK120" s="24">
        <f t="shared" si="95"/>
        <v>0</v>
      </c>
      <c r="BL120" s="24">
        <f t="shared" si="95"/>
        <v>0</v>
      </c>
      <c r="BM120" s="24">
        <f t="shared" si="95"/>
        <v>0</v>
      </c>
      <c r="BN120" s="24">
        <f t="shared" si="95"/>
        <v>0</v>
      </c>
      <c r="BO120" s="24">
        <f t="shared" si="95"/>
        <v>0</v>
      </c>
      <c r="BP120" s="24">
        <f t="shared" si="95"/>
        <v>0</v>
      </c>
      <c r="BQ120" s="24">
        <f t="shared" si="95"/>
        <v>0</v>
      </c>
      <c r="BR120" s="24">
        <f t="shared" si="95"/>
        <v>0</v>
      </c>
      <c r="BS120" s="24">
        <f t="shared" si="95"/>
        <v>0</v>
      </c>
      <c r="BT120" s="24">
        <f t="shared" si="95"/>
        <v>0</v>
      </c>
      <c r="BU120" s="24">
        <f t="shared" si="95"/>
        <v>0</v>
      </c>
      <c r="BV120" s="24">
        <f t="shared" si="95"/>
        <v>0</v>
      </c>
      <c r="BW120" s="24">
        <f t="shared" si="93"/>
        <v>0</v>
      </c>
      <c r="BX120" s="24">
        <f t="shared" si="88"/>
        <v>0</v>
      </c>
      <c r="BY120" s="24">
        <f t="shared" si="88"/>
        <v>11082176</v>
      </c>
      <c r="BZ120" s="24">
        <f t="shared" si="88"/>
        <v>0</v>
      </c>
      <c r="CA120" s="24">
        <f t="shared" si="88"/>
        <v>0</v>
      </c>
      <c r="CB120" s="24">
        <f t="shared" si="88"/>
        <v>0</v>
      </c>
      <c r="CC120" s="24">
        <f t="shared" si="88"/>
        <v>0</v>
      </c>
      <c r="CD120" s="24">
        <f t="shared" si="88"/>
        <v>0</v>
      </c>
      <c r="CE120" s="27">
        <f t="shared" si="98"/>
        <v>0.87484741842910918</v>
      </c>
      <c r="CF120" s="24">
        <f t="shared" si="99"/>
        <v>194119465</v>
      </c>
      <c r="CG120" s="24"/>
      <c r="CH120" s="24">
        <f>+[4]JULIO!$H$2465</f>
        <v>91850000</v>
      </c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>
        <f>+[2]OCTUBRE!$H$3162+[2]OCTUBRE!$H$3169+[2]OCTUBRE!$H$3178</f>
        <v>102269465</v>
      </c>
      <c r="CY120" s="24"/>
      <c r="CZ120" s="24"/>
      <c r="DA120" s="24"/>
      <c r="DB120" s="24"/>
      <c r="DC120" s="24"/>
      <c r="DD120" s="27">
        <f t="shared" si="59"/>
        <v>0.12515258157089082</v>
      </c>
      <c r="DE120" s="24">
        <f t="shared" si="89"/>
        <v>27770045</v>
      </c>
      <c r="DF120" s="24">
        <f t="shared" si="96"/>
        <v>0</v>
      </c>
      <c r="DG120" s="24">
        <f t="shared" si="96"/>
        <v>16150000</v>
      </c>
      <c r="DH120" s="24">
        <f t="shared" si="96"/>
        <v>0</v>
      </c>
      <c r="DI120" s="24">
        <f t="shared" si="96"/>
        <v>0</v>
      </c>
      <c r="DJ120" s="24">
        <f t="shared" si="96"/>
        <v>0</v>
      </c>
      <c r="DK120" s="24">
        <f t="shared" si="96"/>
        <v>0</v>
      </c>
      <c r="DL120" s="24">
        <f t="shared" si="96"/>
        <v>0</v>
      </c>
      <c r="DM120" s="24">
        <f t="shared" si="96"/>
        <v>0</v>
      </c>
      <c r="DN120" s="24">
        <f t="shared" si="96"/>
        <v>0</v>
      </c>
      <c r="DO120" s="24">
        <f t="shared" si="96"/>
        <v>0</v>
      </c>
      <c r="DP120" s="24">
        <f t="shared" si="96"/>
        <v>0</v>
      </c>
      <c r="DQ120" s="24">
        <f t="shared" si="96"/>
        <v>0</v>
      </c>
      <c r="DR120" s="24">
        <f t="shared" si="96"/>
        <v>0</v>
      </c>
      <c r="DS120" s="24">
        <f t="shared" si="96"/>
        <v>0</v>
      </c>
      <c r="DT120" s="24">
        <f t="shared" si="96"/>
        <v>0</v>
      </c>
      <c r="DU120" s="24">
        <f t="shared" si="94"/>
        <v>0</v>
      </c>
      <c r="DV120" s="24">
        <f t="shared" si="91"/>
        <v>0</v>
      </c>
      <c r="DW120" s="24">
        <f t="shared" si="91"/>
        <v>11620045</v>
      </c>
      <c r="DX120" s="24">
        <f t="shared" si="91"/>
        <v>0</v>
      </c>
      <c r="DY120" s="24">
        <f t="shared" si="91"/>
        <v>0</v>
      </c>
      <c r="DZ120" s="24">
        <f t="shared" si="91"/>
        <v>0</v>
      </c>
      <c r="EA120" s="24">
        <f t="shared" si="91"/>
        <v>0</v>
      </c>
      <c r="EB120" s="24">
        <f t="shared" si="91"/>
        <v>0</v>
      </c>
      <c r="ED120" s="150"/>
      <c r="EE120" s="45">
        <f t="shared" si="74"/>
        <v>221889510</v>
      </c>
      <c r="EF120" s="45">
        <f t="shared" si="75"/>
        <v>194119465</v>
      </c>
      <c r="EG120" s="159">
        <f t="shared" si="76"/>
        <v>0.87484741842910918</v>
      </c>
    </row>
    <row r="121" spans="1:137" ht="42" hidden="1" customHeight="1" x14ac:dyDescent="0.25">
      <c r="A121" s="208"/>
      <c r="B121" s="259"/>
      <c r="C121" s="260" t="s">
        <v>347</v>
      </c>
      <c r="D121" s="260" t="s">
        <v>348</v>
      </c>
      <c r="E121" s="260">
        <v>510</v>
      </c>
      <c r="F121" s="261" t="s">
        <v>240</v>
      </c>
      <c r="G121" s="24">
        <f t="shared" si="86"/>
        <v>10000000</v>
      </c>
      <c r="H121" s="25">
        <f>+'[15]SA 2020 2024'!$F43</f>
        <v>150000000</v>
      </c>
      <c r="I121" s="25">
        <f t="shared" si="92"/>
        <v>140000000</v>
      </c>
      <c r="J121" s="47"/>
      <c r="K121" s="24">
        <v>10000000</v>
      </c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>
        <v>0</v>
      </c>
      <c r="AG121" s="27">
        <f t="shared" si="58"/>
        <v>1</v>
      </c>
      <c r="AH121" s="24">
        <f t="shared" si="97"/>
        <v>10000000</v>
      </c>
      <c r="AI121" s="24"/>
      <c r="AJ121" s="24">
        <f>+[8]AGOSTO!$K$2660</f>
        <v>10000000</v>
      </c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7">
        <f t="shared" si="60"/>
        <v>0</v>
      </c>
      <c r="BG121" s="24">
        <f t="shared" si="67"/>
        <v>0</v>
      </c>
      <c r="BH121" s="24">
        <f t="shared" si="95"/>
        <v>0</v>
      </c>
      <c r="BI121" s="24">
        <f t="shared" si="95"/>
        <v>0</v>
      </c>
      <c r="BJ121" s="24">
        <f t="shared" si="95"/>
        <v>0</v>
      </c>
      <c r="BK121" s="24">
        <f t="shared" si="95"/>
        <v>0</v>
      </c>
      <c r="BL121" s="24">
        <f t="shared" si="95"/>
        <v>0</v>
      </c>
      <c r="BM121" s="24">
        <f t="shared" si="95"/>
        <v>0</v>
      </c>
      <c r="BN121" s="24">
        <f t="shared" si="95"/>
        <v>0</v>
      </c>
      <c r="BO121" s="24">
        <f t="shared" si="95"/>
        <v>0</v>
      </c>
      <c r="BP121" s="24">
        <f t="shared" si="95"/>
        <v>0</v>
      </c>
      <c r="BQ121" s="24">
        <f t="shared" si="95"/>
        <v>0</v>
      </c>
      <c r="BR121" s="24">
        <f t="shared" si="95"/>
        <v>0</v>
      </c>
      <c r="BS121" s="24">
        <f t="shared" si="95"/>
        <v>0</v>
      </c>
      <c r="BT121" s="24">
        <f t="shared" si="95"/>
        <v>0</v>
      </c>
      <c r="BU121" s="24">
        <f t="shared" si="95"/>
        <v>0</v>
      </c>
      <c r="BV121" s="24">
        <f t="shared" si="95"/>
        <v>0</v>
      </c>
      <c r="BW121" s="24">
        <f t="shared" si="93"/>
        <v>0</v>
      </c>
      <c r="BX121" s="24">
        <f t="shared" si="88"/>
        <v>0</v>
      </c>
      <c r="BY121" s="24">
        <f t="shared" si="88"/>
        <v>0</v>
      </c>
      <c r="BZ121" s="24">
        <f t="shared" si="88"/>
        <v>0</v>
      </c>
      <c r="CA121" s="24">
        <f t="shared" si="88"/>
        <v>0</v>
      </c>
      <c r="CB121" s="24">
        <f t="shared" si="88"/>
        <v>0</v>
      </c>
      <c r="CC121" s="24">
        <f t="shared" si="88"/>
        <v>0</v>
      </c>
      <c r="CD121" s="24">
        <f t="shared" si="88"/>
        <v>0</v>
      </c>
      <c r="CE121" s="27">
        <f t="shared" si="98"/>
        <v>1</v>
      </c>
      <c r="CF121" s="24">
        <f t="shared" si="99"/>
        <v>10000000</v>
      </c>
      <c r="CG121" s="24"/>
      <c r="CH121" s="24">
        <f>+[3]SEPTIEMBRE!$H$2987</f>
        <v>10000000</v>
      </c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7">
        <f t="shared" si="59"/>
        <v>0</v>
      </c>
      <c r="DE121" s="24">
        <f t="shared" si="89"/>
        <v>0</v>
      </c>
      <c r="DF121" s="24">
        <f t="shared" si="96"/>
        <v>0</v>
      </c>
      <c r="DG121" s="24">
        <f t="shared" si="96"/>
        <v>0</v>
      </c>
      <c r="DH121" s="24">
        <f t="shared" si="96"/>
        <v>0</v>
      </c>
      <c r="DI121" s="24">
        <f t="shared" si="96"/>
        <v>0</v>
      </c>
      <c r="DJ121" s="24">
        <f t="shared" si="96"/>
        <v>0</v>
      </c>
      <c r="DK121" s="24">
        <f t="shared" si="96"/>
        <v>0</v>
      </c>
      <c r="DL121" s="24">
        <f t="shared" si="96"/>
        <v>0</v>
      </c>
      <c r="DM121" s="24">
        <f t="shared" si="96"/>
        <v>0</v>
      </c>
      <c r="DN121" s="24">
        <f t="shared" si="96"/>
        <v>0</v>
      </c>
      <c r="DO121" s="24">
        <f t="shared" si="96"/>
        <v>0</v>
      </c>
      <c r="DP121" s="24">
        <f t="shared" si="96"/>
        <v>0</v>
      </c>
      <c r="DQ121" s="24">
        <f t="shared" si="96"/>
        <v>0</v>
      </c>
      <c r="DR121" s="24">
        <f t="shared" si="96"/>
        <v>0</v>
      </c>
      <c r="DS121" s="24">
        <f t="shared" si="96"/>
        <v>0</v>
      </c>
      <c r="DT121" s="24">
        <f t="shared" si="96"/>
        <v>0</v>
      </c>
      <c r="DU121" s="24">
        <f t="shared" si="94"/>
        <v>0</v>
      </c>
      <c r="DV121" s="24">
        <f t="shared" si="91"/>
        <v>0</v>
      </c>
      <c r="DW121" s="24">
        <f t="shared" si="91"/>
        <v>0</v>
      </c>
      <c r="DX121" s="24">
        <f t="shared" si="91"/>
        <v>0</v>
      </c>
      <c r="DY121" s="24">
        <f t="shared" si="91"/>
        <v>0</v>
      </c>
      <c r="DZ121" s="24">
        <f t="shared" si="91"/>
        <v>0</v>
      </c>
      <c r="EA121" s="24">
        <f t="shared" si="91"/>
        <v>0</v>
      </c>
      <c r="EB121" s="24">
        <f t="shared" si="91"/>
        <v>0</v>
      </c>
      <c r="ED121" s="150"/>
      <c r="EE121" s="45">
        <f t="shared" si="74"/>
        <v>10000000</v>
      </c>
      <c r="EF121" s="45">
        <f t="shared" si="75"/>
        <v>10000000</v>
      </c>
      <c r="EG121" s="159">
        <f t="shared" si="76"/>
        <v>1</v>
      </c>
    </row>
    <row r="122" spans="1:137" ht="21" hidden="1" customHeight="1" x14ac:dyDescent="0.25">
      <c r="A122" s="208"/>
      <c r="B122" s="259"/>
      <c r="C122" s="260" t="s">
        <v>349</v>
      </c>
      <c r="D122" s="260" t="s">
        <v>350</v>
      </c>
      <c r="E122" s="260">
        <v>510</v>
      </c>
      <c r="F122" s="261" t="s">
        <v>240</v>
      </c>
      <c r="G122" s="24">
        <f t="shared" si="86"/>
        <v>255040000</v>
      </c>
      <c r="H122" s="25">
        <f>+'[15]SA 2020 2024'!$F44</f>
        <v>280000000</v>
      </c>
      <c r="I122" s="25">
        <f t="shared" si="92"/>
        <v>24960000</v>
      </c>
      <c r="J122" s="47"/>
      <c r="K122" s="24">
        <f>100000000+42000000</f>
        <v>142000000</v>
      </c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>
        <f>50000000+63040000</f>
        <v>113040000</v>
      </c>
      <c r="AB122" s="24"/>
      <c r="AC122" s="24"/>
      <c r="AD122" s="24"/>
      <c r="AE122" s="24"/>
      <c r="AF122" s="24">
        <v>0</v>
      </c>
      <c r="AG122" s="27">
        <f t="shared" si="58"/>
        <v>0.81963613550815562</v>
      </c>
      <c r="AH122" s="24">
        <f t="shared" si="97"/>
        <v>209040000</v>
      </c>
      <c r="AI122" s="24"/>
      <c r="AJ122" s="24">
        <f>+[4]JULIO!$K$2499</f>
        <v>119000000</v>
      </c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>
        <f>+[3]SEPTIEMBRE!$AA$2996</f>
        <v>90040000</v>
      </c>
      <c r="BA122" s="24"/>
      <c r="BB122" s="24"/>
      <c r="BC122" s="24"/>
      <c r="BD122" s="24"/>
      <c r="BE122" s="24"/>
      <c r="BF122" s="27">
        <f t="shared" si="60"/>
        <v>0.18036386449184438</v>
      </c>
      <c r="BG122" s="24">
        <f t="shared" si="67"/>
        <v>46000000</v>
      </c>
      <c r="BH122" s="24">
        <f t="shared" si="95"/>
        <v>0</v>
      </c>
      <c r="BI122" s="24">
        <f t="shared" si="95"/>
        <v>23000000</v>
      </c>
      <c r="BJ122" s="24">
        <f t="shared" si="95"/>
        <v>0</v>
      </c>
      <c r="BK122" s="24">
        <f t="shared" si="95"/>
        <v>0</v>
      </c>
      <c r="BL122" s="24">
        <f t="shared" si="95"/>
        <v>0</v>
      </c>
      <c r="BM122" s="24">
        <f t="shared" si="95"/>
        <v>0</v>
      </c>
      <c r="BN122" s="24">
        <f t="shared" si="95"/>
        <v>0</v>
      </c>
      <c r="BO122" s="24">
        <f t="shared" si="95"/>
        <v>0</v>
      </c>
      <c r="BP122" s="24">
        <f t="shared" si="95"/>
        <v>0</v>
      </c>
      <c r="BQ122" s="24">
        <f t="shared" si="95"/>
        <v>0</v>
      </c>
      <c r="BR122" s="24">
        <f t="shared" si="95"/>
        <v>0</v>
      </c>
      <c r="BS122" s="24">
        <f t="shared" si="95"/>
        <v>0</v>
      </c>
      <c r="BT122" s="24">
        <f t="shared" si="95"/>
        <v>0</v>
      </c>
      <c r="BU122" s="24">
        <f t="shared" si="95"/>
        <v>0</v>
      </c>
      <c r="BV122" s="24">
        <f t="shared" si="95"/>
        <v>0</v>
      </c>
      <c r="BW122" s="24">
        <f t="shared" si="93"/>
        <v>0</v>
      </c>
      <c r="BX122" s="24">
        <f t="shared" si="88"/>
        <v>0</v>
      </c>
      <c r="BY122" s="24">
        <f t="shared" si="88"/>
        <v>23000000</v>
      </c>
      <c r="BZ122" s="24">
        <f t="shared" si="88"/>
        <v>0</v>
      </c>
      <c r="CA122" s="24">
        <f t="shared" si="88"/>
        <v>0</v>
      </c>
      <c r="CB122" s="24">
        <f t="shared" si="88"/>
        <v>0</v>
      </c>
      <c r="CC122" s="24">
        <f t="shared" si="88"/>
        <v>0</v>
      </c>
      <c r="CD122" s="24">
        <f t="shared" si="88"/>
        <v>0</v>
      </c>
      <c r="CE122" s="27">
        <f t="shared" si="98"/>
        <v>0.80248849592220828</v>
      </c>
      <c r="CF122" s="24">
        <f t="shared" si="99"/>
        <v>204666666</v>
      </c>
      <c r="CG122" s="24"/>
      <c r="CH122" s="24">
        <f>+[2]OCTUBRE!$H$3196+[2]OCTUBRE!$H$3205+[2]OCTUBRE!$H$3222</f>
        <v>115000000</v>
      </c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>
        <f>+[2]OCTUBRE!$H$3208+[2]OCTUBRE!$H$3215+[2]OCTUBRE!$H$3226</f>
        <v>89666666</v>
      </c>
      <c r="CY122" s="24"/>
      <c r="CZ122" s="24"/>
      <c r="DA122" s="24"/>
      <c r="DB122" s="24"/>
      <c r="DC122" s="24"/>
      <c r="DD122" s="27">
        <f t="shared" si="59"/>
        <v>0.19751150407779172</v>
      </c>
      <c r="DE122" s="24">
        <f t="shared" si="89"/>
        <v>50373334</v>
      </c>
      <c r="DF122" s="24">
        <f t="shared" si="96"/>
        <v>0</v>
      </c>
      <c r="DG122" s="24">
        <f t="shared" si="96"/>
        <v>27000000</v>
      </c>
      <c r="DH122" s="24">
        <f t="shared" si="96"/>
        <v>0</v>
      </c>
      <c r="DI122" s="24">
        <f t="shared" si="96"/>
        <v>0</v>
      </c>
      <c r="DJ122" s="24">
        <f t="shared" si="96"/>
        <v>0</v>
      </c>
      <c r="DK122" s="24">
        <f t="shared" si="96"/>
        <v>0</v>
      </c>
      <c r="DL122" s="24">
        <f t="shared" si="96"/>
        <v>0</v>
      </c>
      <c r="DM122" s="24">
        <f t="shared" si="96"/>
        <v>0</v>
      </c>
      <c r="DN122" s="24">
        <f t="shared" si="96"/>
        <v>0</v>
      </c>
      <c r="DO122" s="24">
        <f t="shared" si="96"/>
        <v>0</v>
      </c>
      <c r="DP122" s="24">
        <f t="shared" si="96"/>
        <v>0</v>
      </c>
      <c r="DQ122" s="24">
        <f t="shared" si="96"/>
        <v>0</v>
      </c>
      <c r="DR122" s="24">
        <f t="shared" si="96"/>
        <v>0</v>
      </c>
      <c r="DS122" s="24">
        <f t="shared" si="96"/>
        <v>0</v>
      </c>
      <c r="DT122" s="24">
        <f t="shared" si="96"/>
        <v>0</v>
      </c>
      <c r="DU122" s="24">
        <f t="shared" si="94"/>
        <v>0</v>
      </c>
      <c r="DV122" s="24">
        <f t="shared" si="91"/>
        <v>0</v>
      </c>
      <c r="DW122" s="24">
        <f t="shared" si="91"/>
        <v>23373334</v>
      </c>
      <c r="DX122" s="24">
        <f t="shared" si="91"/>
        <v>0</v>
      </c>
      <c r="DY122" s="24">
        <f t="shared" si="91"/>
        <v>0</v>
      </c>
      <c r="DZ122" s="24">
        <f t="shared" si="91"/>
        <v>0</v>
      </c>
      <c r="EA122" s="24">
        <f t="shared" si="91"/>
        <v>0</v>
      </c>
      <c r="EB122" s="24">
        <f t="shared" si="91"/>
        <v>0</v>
      </c>
      <c r="ED122" s="150"/>
      <c r="EE122" s="45">
        <f t="shared" si="74"/>
        <v>255040000</v>
      </c>
      <c r="EF122" s="45">
        <f t="shared" si="75"/>
        <v>204666666</v>
      </c>
      <c r="EG122" s="159">
        <f t="shared" si="76"/>
        <v>0.80248849592220828</v>
      </c>
    </row>
    <row r="123" spans="1:137" ht="30" hidden="1" customHeight="1" x14ac:dyDescent="0.25">
      <c r="A123" s="208"/>
      <c r="B123" s="259"/>
      <c r="C123" s="260" t="s">
        <v>351</v>
      </c>
      <c r="D123" s="260" t="s">
        <v>352</v>
      </c>
      <c r="E123" s="260">
        <v>510</v>
      </c>
      <c r="F123" s="261" t="s">
        <v>240</v>
      </c>
      <c r="G123" s="24">
        <f t="shared" si="86"/>
        <v>150000000</v>
      </c>
      <c r="H123" s="25">
        <f>+'[15]SA 2020 2024'!$F45</f>
        <v>200000000</v>
      </c>
      <c r="I123" s="25">
        <f t="shared" si="92"/>
        <v>50000000</v>
      </c>
      <c r="J123" s="47"/>
      <c r="K123" s="24">
        <v>100000000</v>
      </c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>
        <v>50000000</v>
      </c>
      <c r="AB123" s="24"/>
      <c r="AC123" s="24"/>
      <c r="AD123" s="24"/>
      <c r="AE123" s="24"/>
      <c r="AF123" s="24">
        <v>0</v>
      </c>
      <c r="AG123" s="27">
        <f t="shared" si="58"/>
        <v>0.84444444666666663</v>
      </c>
      <c r="AH123" s="24">
        <f t="shared" si="97"/>
        <v>126666667</v>
      </c>
      <c r="AI123" s="24"/>
      <c r="AJ123" s="24">
        <f>+[2]OCTUBRE!$K$3234</f>
        <v>84333333</v>
      </c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>
        <f>+[4]JULIO!$AA$2530</f>
        <v>42333334</v>
      </c>
      <c r="BA123" s="24"/>
      <c r="BB123" s="24"/>
      <c r="BC123" s="24"/>
      <c r="BD123" s="24"/>
      <c r="BE123" s="24"/>
      <c r="BF123" s="27">
        <f t="shared" si="60"/>
        <v>0.15555555333333337</v>
      </c>
      <c r="BG123" s="24">
        <f t="shared" si="67"/>
        <v>23333333</v>
      </c>
      <c r="BH123" s="24">
        <f t="shared" si="95"/>
        <v>0</v>
      </c>
      <c r="BI123" s="24">
        <f t="shared" si="95"/>
        <v>15666667</v>
      </c>
      <c r="BJ123" s="24">
        <f t="shared" si="95"/>
        <v>0</v>
      </c>
      <c r="BK123" s="24">
        <f t="shared" si="95"/>
        <v>0</v>
      </c>
      <c r="BL123" s="24">
        <f t="shared" si="95"/>
        <v>0</v>
      </c>
      <c r="BM123" s="24">
        <f t="shared" si="95"/>
        <v>0</v>
      </c>
      <c r="BN123" s="24">
        <f t="shared" si="95"/>
        <v>0</v>
      </c>
      <c r="BO123" s="24">
        <f t="shared" si="95"/>
        <v>0</v>
      </c>
      <c r="BP123" s="24">
        <f t="shared" si="95"/>
        <v>0</v>
      </c>
      <c r="BQ123" s="24">
        <f t="shared" si="95"/>
        <v>0</v>
      </c>
      <c r="BR123" s="24">
        <f t="shared" si="95"/>
        <v>0</v>
      </c>
      <c r="BS123" s="24">
        <f t="shared" si="95"/>
        <v>0</v>
      </c>
      <c r="BT123" s="24">
        <f t="shared" si="95"/>
        <v>0</v>
      </c>
      <c r="BU123" s="24">
        <f t="shared" si="95"/>
        <v>0</v>
      </c>
      <c r="BV123" s="24">
        <f t="shared" si="95"/>
        <v>0</v>
      </c>
      <c r="BW123" s="24">
        <f t="shared" si="93"/>
        <v>0</v>
      </c>
      <c r="BX123" s="24">
        <f t="shared" si="88"/>
        <v>0</v>
      </c>
      <c r="BY123" s="24">
        <f t="shared" si="88"/>
        <v>7666666</v>
      </c>
      <c r="BZ123" s="24">
        <f t="shared" si="88"/>
        <v>0</v>
      </c>
      <c r="CA123" s="24">
        <f t="shared" si="88"/>
        <v>0</v>
      </c>
      <c r="CB123" s="24">
        <f t="shared" si="88"/>
        <v>0</v>
      </c>
      <c r="CC123" s="24">
        <f t="shared" si="88"/>
        <v>0</v>
      </c>
      <c r="CD123" s="24">
        <f t="shared" si="88"/>
        <v>0</v>
      </c>
      <c r="CE123" s="27">
        <f t="shared" si="98"/>
        <v>0.67666665999999998</v>
      </c>
      <c r="CF123" s="24">
        <f t="shared" si="99"/>
        <v>101499999</v>
      </c>
      <c r="CG123" s="24"/>
      <c r="CH123" s="24">
        <f>+[4]JULIO!$H$2531+[4]JULIO!$H$2540+[4]JULIO!$H$2548</f>
        <v>64333333</v>
      </c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>
        <f>+[4]JULIO!$H$2528-CH123</f>
        <v>37166666</v>
      </c>
      <c r="CY123" s="24"/>
      <c r="CZ123" s="24"/>
      <c r="DA123" s="24"/>
      <c r="DB123" s="24"/>
      <c r="DC123" s="24"/>
      <c r="DD123" s="27">
        <f t="shared" si="59"/>
        <v>0.32333334000000002</v>
      </c>
      <c r="DE123" s="24">
        <f t="shared" si="89"/>
        <v>48500001</v>
      </c>
      <c r="DF123" s="24">
        <f t="shared" si="96"/>
        <v>0</v>
      </c>
      <c r="DG123" s="24">
        <f t="shared" si="96"/>
        <v>35666667</v>
      </c>
      <c r="DH123" s="24">
        <f t="shared" si="96"/>
        <v>0</v>
      </c>
      <c r="DI123" s="24">
        <f t="shared" si="96"/>
        <v>0</v>
      </c>
      <c r="DJ123" s="24">
        <f t="shared" si="96"/>
        <v>0</v>
      </c>
      <c r="DK123" s="24">
        <f t="shared" si="96"/>
        <v>0</v>
      </c>
      <c r="DL123" s="24">
        <f t="shared" si="96"/>
        <v>0</v>
      </c>
      <c r="DM123" s="24">
        <f t="shared" si="96"/>
        <v>0</v>
      </c>
      <c r="DN123" s="24">
        <f t="shared" si="96"/>
        <v>0</v>
      </c>
      <c r="DO123" s="24">
        <f t="shared" si="96"/>
        <v>0</v>
      </c>
      <c r="DP123" s="24">
        <f t="shared" si="96"/>
        <v>0</v>
      </c>
      <c r="DQ123" s="24">
        <f t="shared" si="96"/>
        <v>0</v>
      </c>
      <c r="DR123" s="24">
        <f t="shared" si="96"/>
        <v>0</v>
      </c>
      <c r="DS123" s="24">
        <f t="shared" si="96"/>
        <v>0</v>
      </c>
      <c r="DT123" s="24">
        <f t="shared" si="96"/>
        <v>0</v>
      </c>
      <c r="DU123" s="24">
        <f t="shared" si="94"/>
        <v>0</v>
      </c>
      <c r="DV123" s="24">
        <f t="shared" si="91"/>
        <v>0</v>
      </c>
      <c r="DW123" s="24">
        <f t="shared" si="91"/>
        <v>12833334</v>
      </c>
      <c r="DX123" s="24">
        <f t="shared" si="91"/>
        <v>0</v>
      </c>
      <c r="DY123" s="24">
        <f t="shared" si="91"/>
        <v>0</v>
      </c>
      <c r="DZ123" s="24">
        <f t="shared" si="91"/>
        <v>0</v>
      </c>
      <c r="EA123" s="24">
        <f t="shared" si="91"/>
        <v>0</v>
      </c>
      <c r="EB123" s="24">
        <f t="shared" si="91"/>
        <v>0</v>
      </c>
      <c r="ED123" s="150"/>
      <c r="EE123" s="45">
        <f t="shared" si="74"/>
        <v>150000000</v>
      </c>
      <c r="EF123" s="45">
        <f t="shared" si="75"/>
        <v>101499999</v>
      </c>
      <c r="EG123" s="159">
        <f t="shared" si="76"/>
        <v>0.67666665999999998</v>
      </c>
    </row>
    <row r="124" spans="1:137" ht="32.450000000000003" hidden="1" customHeight="1" x14ac:dyDescent="0.25">
      <c r="A124" s="208"/>
      <c r="B124" s="259"/>
      <c r="C124" s="260" t="s">
        <v>353</v>
      </c>
      <c r="D124" s="260" t="s">
        <v>354</v>
      </c>
      <c r="E124" s="260">
        <v>510</v>
      </c>
      <c r="F124" s="261" t="s">
        <v>240</v>
      </c>
      <c r="G124" s="24">
        <f t="shared" si="86"/>
        <v>80700000</v>
      </c>
      <c r="H124" s="25">
        <f>+'[15]SA 2020 2024'!$F46</f>
        <v>200000000</v>
      </c>
      <c r="I124" s="25">
        <f t="shared" si="92"/>
        <v>119300000</v>
      </c>
      <c r="J124" s="47"/>
      <c r="K124" s="24">
        <f>100000000-50000000</f>
        <v>50000000</v>
      </c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6">
        <v>30700000</v>
      </c>
      <c r="AB124" s="24"/>
      <c r="AC124" s="24"/>
      <c r="AD124" s="24"/>
      <c r="AE124" s="24"/>
      <c r="AF124" s="24">
        <v>0</v>
      </c>
      <c r="AG124" s="27">
        <f t="shared" si="58"/>
        <v>0.9035522552664188</v>
      </c>
      <c r="AH124" s="24">
        <f t="shared" si="97"/>
        <v>72916667</v>
      </c>
      <c r="AI124" s="24"/>
      <c r="AJ124" s="24">
        <f>+[4]JULIO!$K$2566</f>
        <v>42216667</v>
      </c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>
        <f>+[2]OCTUBRE!$AA$3270</f>
        <v>30700000</v>
      </c>
      <c r="BA124" s="24"/>
      <c r="BB124" s="24"/>
      <c r="BC124" s="24"/>
      <c r="BD124" s="24"/>
      <c r="BE124" s="24"/>
      <c r="BF124" s="27">
        <f t="shared" si="60"/>
        <v>9.6447744733581198E-2</v>
      </c>
      <c r="BG124" s="24">
        <f t="shared" si="67"/>
        <v>7783333</v>
      </c>
      <c r="BH124" s="24">
        <f t="shared" si="95"/>
        <v>0</v>
      </c>
      <c r="BI124" s="24">
        <f t="shared" si="95"/>
        <v>7783333</v>
      </c>
      <c r="BJ124" s="24">
        <f t="shared" si="95"/>
        <v>0</v>
      </c>
      <c r="BK124" s="24">
        <f t="shared" si="95"/>
        <v>0</v>
      </c>
      <c r="BL124" s="24">
        <f t="shared" si="95"/>
        <v>0</v>
      </c>
      <c r="BM124" s="24">
        <f t="shared" si="95"/>
        <v>0</v>
      </c>
      <c r="BN124" s="24">
        <f t="shared" si="95"/>
        <v>0</v>
      </c>
      <c r="BO124" s="24">
        <f t="shared" si="95"/>
        <v>0</v>
      </c>
      <c r="BP124" s="24">
        <f t="shared" si="95"/>
        <v>0</v>
      </c>
      <c r="BQ124" s="24">
        <f t="shared" si="95"/>
        <v>0</v>
      </c>
      <c r="BR124" s="24">
        <f t="shared" si="95"/>
        <v>0</v>
      </c>
      <c r="BS124" s="24">
        <f t="shared" si="95"/>
        <v>0</v>
      </c>
      <c r="BT124" s="24">
        <f t="shared" si="95"/>
        <v>0</v>
      </c>
      <c r="BU124" s="24">
        <f t="shared" si="95"/>
        <v>0</v>
      </c>
      <c r="BV124" s="24">
        <f t="shared" si="95"/>
        <v>0</v>
      </c>
      <c r="BW124" s="24">
        <f t="shared" si="93"/>
        <v>0</v>
      </c>
      <c r="BX124" s="24">
        <f t="shared" si="88"/>
        <v>0</v>
      </c>
      <c r="BY124" s="24">
        <f t="shared" si="88"/>
        <v>0</v>
      </c>
      <c r="BZ124" s="24">
        <f t="shared" si="88"/>
        <v>0</v>
      </c>
      <c r="CA124" s="24">
        <f t="shared" si="88"/>
        <v>0</v>
      </c>
      <c r="CB124" s="24">
        <f t="shared" si="88"/>
        <v>0</v>
      </c>
      <c r="CC124" s="24">
        <f t="shared" si="88"/>
        <v>0</v>
      </c>
      <c r="CD124" s="24">
        <f t="shared" si="88"/>
        <v>0</v>
      </c>
      <c r="CE124" s="27">
        <f t="shared" si="98"/>
        <v>0.6365551301115242</v>
      </c>
      <c r="CF124" s="24">
        <f t="shared" si="99"/>
        <v>51369999</v>
      </c>
      <c r="CG124" s="24"/>
      <c r="CH124" s="24">
        <f>+[2]OCTUBRE!$H$3271+[2]OCTUBRE!$H$3274</f>
        <v>40263333</v>
      </c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>
        <f>+[2]OCTUBRE!$H$3277</f>
        <v>11106666</v>
      </c>
      <c r="CY124" s="24"/>
      <c r="CZ124" s="24"/>
      <c r="DA124" s="24"/>
      <c r="DB124" s="24"/>
      <c r="DC124" s="24"/>
      <c r="DD124" s="27">
        <f t="shared" si="59"/>
        <v>0.3634448698884758</v>
      </c>
      <c r="DE124" s="24">
        <f t="shared" si="89"/>
        <v>29330001</v>
      </c>
      <c r="DF124" s="24">
        <f t="shared" si="96"/>
        <v>0</v>
      </c>
      <c r="DG124" s="24">
        <f t="shared" si="96"/>
        <v>9736667</v>
      </c>
      <c r="DH124" s="24">
        <f t="shared" si="96"/>
        <v>0</v>
      </c>
      <c r="DI124" s="24">
        <f t="shared" si="96"/>
        <v>0</v>
      </c>
      <c r="DJ124" s="24">
        <f t="shared" si="96"/>
        <v>0</v>
      </c>
      <c r="DK124" s="24">
        <f t="shared" si="96"/>
        <v>0</v>
      </c>
      <c r="DL124" s="24">
        <f t="shared" si="96"/>
        <v>0</v>
      </c>
      <c r="DM124" s="24">
        <f t="shared" si="96"/>
        <v>0</v>
      </c>
      <c r="DN124" s="24">
        <f t="shared" si="96"/>
        <v>0</v>
      </c>
      <c r="DO124" s="24">
        <f t="shared" si="96"/>
        <v>0</v>
      </c>
      <c r="DP124" s="24">
        <f t="shared" si="96"/>
        <v>0</v>
      </c>
      <c r="DQ124" s="24">
        <f t="shared" si="96"/>
        <v>0</v>
      </c>
      <c r="DR124" s="24">
        <f t="shared" si="96"/>
        <v>0</v>
      </c>
      <c r="DS124" s="24">
        <f t="shared" si="96"/>
        <v>0</v>
      </c>
      <c r="DT124" s="24">
        <f t="shared" si="96"/>
        <v>0</v>
      </c>
      <c r="DU124" s="24">
        <f t="shared" si="94"/>
        <v>0</v>
      </c>
      <c r="DV124" s="24">
        <f t="shared" si="91"/>
        <v>0</v>
      </c>
      <c r="DW124" s="24">
        <f t="shared" si="91"/>
        <v>19593334</v>
      </c>
      <c r="DX124" s="24">
        <f t="shared" si="91"/>
        <v>0</v>
      </c>
      <c r="DY124" s="24">
        <f t="shared" si="91"/>
        <v>0</v>
      </c>
      <c r="DZ124" s="24">
        <f t="shared" si="91"/>
        <v>0</v>
      </c>
      <c r="EA124" s="24">
        <f t="shared" si="91"/>
        <v>0</v>
      </c>
      <c r="EB124" s="24">
        <f t="shared" si="91"/>
        <v>0</v>
      </c>
      <c r="ED124" s="155"/>
      <c r="EE124" s="45">
        <f t="shared" si="74"/>
        <v>80700000</v>
      </c>
      <c r="EF124" s="45">
        <f t="shared" si="75"/>
        <v>51369999</v>
      </c>
      <c r="EG124" s="159">
        <f t="shared" si="76"/>
        <v>0.6365551301115242</v>
      </c>
    </row>
    <row r="125" spans="1:137" ht="31.5" hidden="1" customHeight="1" x14ac:dyDescent="0.25">
      <c r="A125" s="208"/>
      <c r="B125" s="259"/>
      <c r="C125" s="260" t="s">
        <v>355</v>
      </c>
      <c r="D125" s="260" t="s">
        <v>356</v>
      </c>
      <c r="E125" s="260">
        <v>510</v>
      </c>
      <c r="F125" s="261" t="s">
        <v>357</v>
      </c>
      <c r="G125" s="24">
        <f t="shared" si="86"/>
        <v>61107500</v>
      </c>
      <c r="H125" s="25">
        <f>+'[15]SA 2020 2024'!$F47</f>
        <v>200000000</v>
      </c>
      <c r="I125" s="25">
        <f t="shared" si="92"/>
        <v>138892500</v>
      </c>
      <c r="J125" s="47"/>
      <c r="K125" s="24">
        <v>49407500</v>
      </c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>
        <v>11700000</v>
      </c>
      <c r="AG125" s="27">
        <f t="shared" si="58"/>
        <v>0.19146585934623409</v>
      </c>
      <c r="AH125" s="24">
        <f t="shared" si="97"/>
        <v>11700000</v>
      </c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>
        <f>+'[11]ABRIL 2020'!$AG$3533</f>
        <v>11700000</v>
      </c>
      <c r="BF125" s="27">
        <f t="shared" si="60"/>
        <v>0.80853414065376594</v>
      </c>
      <c r="BG125" s="24">
        <f t="shared" si="67"/>
        <v>49407500</v>
      </c>
      <c r="BH125" s="24">
        <f t="shared" si="95"/>
        <v>0</v>
      </c>
      <c r="BI125" s="24">
        <f t="shared" si="95"/>
        <v>49407500</v>
      </c>
      <c r="BJ125" s="24">
        <f t="shared" si="95"/>
        <v>0</v>
      </c>
      <c r="BK125" s="24">
        <f t="shared" si="95"/>
        <v>0</v>
      </c>
      <c r="BL125" s="24">
        <f t="shared" si="95"/>
        <v>0</v>
      </c>
      <c r="BM125" s="24">
        <f t="shared" si="95"/>
        <v>0</v>
      </c>
      <c r="BN125" s="24">
        <f t="shared" si="95"/>
        <v>0</v>
      </c>
      <c r="BO125" s="24">
        <f t="shared" si="95"/>
        <v>0</v>
      </c>
      <c r="BP125" s="24">
        <f t="shared" si="95"/>
        <v>0</v>
      </c>
      <c r="BQ125" s="24">
        <f t="shared" si="95"/>
        <v>0</v>
      </c>
      <c r="BR125" s="24">
        <f t="shared" si="95"/>
        <v>0</v>
      </c>
      <c r="BS125" s="24">
        <f t="shared" si="95"/>
        <v>0</v>
      </c>
      <c r="BT125" s="24">
        <f t="shared" si="95"/>
        <v>0</v>
      </c>
      <c r="BU125" s="24">
        <f t="shared" si="95"/>
        <v>0</v>
      </c>
      <c r="BV125" s="24">
        <f t="shared" si="95"/>
        <v>0</v>
      </c>
      <c r="BW125" s="24">
        <f t="shared" si="93"/>
        <v>0</v>
      </c>
      <c r="BX125" s="24">
        <f t="shared" si="88"/>
        <v>0</v>
      </c>
      <c r="BY125" s="24">
        <f t="shared" si="88"/>
        <v>0</v>
      </c>
      <c r="BZ125" s="24">
        <f t="shared" si="88"/>
        <v>0</v>
      </c>
      <c r="CA125" s="24">
        <f t="shared" si="88"/>
        <v>0</v>
      </c>
      <c r="CB125" s="24">
        <f t="shared" si="88"/>
        <v>0</v>
      </c>
      <c r="CC125" s="24">
        <f t="shared" si="88"/>
        <v>0</v>
      </c>
      <c r="CD125" s="24">
        <f t="shared" si="88"/>
        <v>0</v>
      </c>
      <c r="CE125" s="27">
        <f t="shared" si="98"/>
        <v>0.19130221331260483</v>
      </c>
      <c r="CF125" s="24">
        <f t="shared" si="99"/>
        <v>11690000</v>
      </c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>
        <f>+'[10]MAYO 2020'!$H$3625</f>
        <v>11690000</v>
      </c>
      <c r="DD125" s="27">
        <f t="shared" si="59"/>
        <v>0.80869778668739523</v>
      </c>
      <c r="DE125" s="24">
        <f t="shared" si="89"/>
        <v>49417500</v>
      </c>
      <c r="DF125" s="24">
        <f t="shared" si="96"/>
        <v>0</v>
      </c>
      <c r="DG125" s="24">
        <f t="shared" si="96"/>
        <v>49407500</v>
      </c>
      <c r="DH125" s="24">
        <f t="shared" si="96"/>
        <v>0</v>
      </c>
      <c r="DI125" s="24">
        <f t="shared" si="96"/>
        <v>0</v>
      </c>
      <c r="DJ125" s="24">
        <f t="shared" si="96"/>
        <v>0</v>
      </c>
      <c r="DK125" s="24">
        <f t="shared" si="96"/>
        <v>0</v>
      </c>
      <c r="DL125" s="24">
        <f t="shared" si="96"/>
        <v>0</v>
      </c>
      <c r="DM125" s="24">
        <f t="shared" si="96"/>
        <v>0</v>
      </c>
      <c r="DN125" s="24">
        <f t="shared" si="96"/>
        <v>0</v>
      </c>
      <c r="DO125" s="24">
        <f t="shared" si="96"/>
        <v>0</v>
      </c>
      <c r="DP125" s="24">
        <f t="shared" si="96"/>
        <v>0</v>
      </c>
      <c r="DQ125" s="24">
        <f t="shared" si="96"/>
        <v>0</v>
      </c>
      <c r="DR125" s="24">
        <f t="shared" si="96"/>
        <v>0</v>
      </c>
      <c r="DS125" s="24">
        <f t="shared" si="96"/>
        <v>0</v>
      </c>
      <c r="DT125" s="24">
        <f t="shared" si="96"/>
        <v>0</v>
      </c>
      <c r="DU125" s="24">
        <f t="shared" si="94"/>
        <v>0</v>
      </c>
      <c r="DV125" s="24">
        <f t="shared" si="91"/>
        <v>0</v>
      </c>
      <c r="DW125" s="24">
        <f t="shared" si="91"/>
        <v>0</v>
      </c>
      <c r="DX125" s="24">
        <f t="shared" si="91"/>
        <v>0</v>
      </c>
      <c r="DY125" s="24">
        <f t="shared" si="91"/>
        <v>0</v>
      </c>
      <c r="DZ125" s="24">
        <f t="shared" si="91"/>
        <v>0</v>
      </c>
      <c r="EA125" s="24">
        <f t="shared" si="91"/>
        <v>0</v>
      </c>
      <c r="EB125" s="24">
        <f t="shared" si="91"/>
        <v>10000</v>
      </c>
      <c r="ED125" s="150"/>
      <c r="EE125" s="45">
        <f t="shared" si="74"/>
        <v>61107500</v>
      </c>
      <c r="EF125" s="45">
        <f t="shared" si="75"/>
        <v>11690000</v>
      </c>
      <c r="EG125" s="159">
        <f t="shared" si="76"/>
        <v>0.19130221331260483</v>
      </c>
    </row>
    <row r="126" spans="1:137" ht="31.5" hidden="1" customHeight="1" x14ac:dyDescent="0.25">
      <c r="A126" s="208"/>
      <c r="B126" s="259"/>
      <c r="C126" s="260" t="s">
        <v>358</v>
      </c>
      <c r="D126" s="260" t="s">
        <v>359</v>
      </c>
      <c r="E126" s="260">
        <v>510</v>
      </c>
      <c r="F126" s="261" t="s">
        <v>240</v>
      </c>
      <c r="G126" s="24">
        <f t="shared" si="86"/>
        <v>192000000</v>
      </c>
      <c r="H126" s="25">
        <f>+'[15]SA 2020 2024'!$F48</f>
        <v>200000000</v>
      </c>
      <c r="I126" s="25">
        <f t="shared" si="92"/>
        <v>8000000</v>
      </c>
      <c r="J126" s="47"/>
      <c r="K126" s="24">
        <f>100000000+12000000</f>
        <v>112000000</v>
      </c>
      <c r="L126" s="24"/>
      <c r="M126" s="24"/>
      <c r="N126" s="24"/>
      <c r="O126" s="24">
        <v>80000000</v>
      </c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>
        <v>0</v>
      </c>
      <c r="AG126" s="27">
        <f t="shared" si="58"/>
        <v>1</v>
      </c>
      <c r="AH126" s="24">
        <f t="shared" si="97"/>
        <v>192000000</v>
      </c>
      <c r="AI126" s="24"/>
      <c r="AJ126" s="24">
        <f>+[3]SEPTIEMBRE!$K$3088</f>
        <v>112000000</v>
      </c>
      <c r="AK126" s="24"/>
      <c r="AL126" s="24"/>
      <c r="AM126" s="24"/>
      <c r="AN126" s="24">
        <f>+[4]JULIO!$O$2587</f>
        <v>80000000</v>
      </c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7">
        <f t="shared" si="60"/>
        <v>0</v>
      </c>
      <c r="BG126" s="24">
        <f t="shared" si="67"/>
        <v>0</v>
      </c>
      <c r="BH126" s="24">
        <f t="shared" si="95"/>
        <v>0</v>
      </c>
      <c r="BI126" s="24">
        <f t="shared" si="95"/>
        <v>0</v>
      </c>
      <c r="BJ126" s="24">
        <f t="shared" si="95"/>
        <v>0</v>
      </c>
      <c r="BK126" s="24">
        <f t="shared" si="95"/>
        <v>0</v>
      </c>
      <c r="BL126" s="24">
        <f t="shared" si="95"/>
        <v>0</v>
      </c>
      <c r="BM126" s="24">
        <f t="shared" si="95"/>
        <v>0</v>
      </c>
      <c r="BN126" s="24">
        <f t="shared" si="95"/>
        <v>0</v>
      </c>
      <c r="BO126" s="24">
        <f t="shared" si="95"/>
        <v>0</v>
      </c>
      <c r="BP126" s="24">
        <f t="shared" si="95"/>
        <v>0</v>
      </c>
      <c r="BQ126" s="24">
        <f t="shared" si="95"/>
        <v>0</v>
      </c>
      <c r="BR126" s="24">
        <f t="shared" si="95"/>
        <v>0</v>
      </c>
      <c r="BS126" s="24">
        <f t="shared" si="95"/>
        <v>0</v>
      </c>
      <c r="BT126" s="24">
        <f t="shared" si="95"/>
        <v>0</v>
      </c>
      <c r="BU126" s="24">
        <f t="shared" si="95"/>
        <v>0</v>
      </c>
      <c r="BV126" s="24">
        <f t="shared" si="95"/>
        <v>0</v>
      </c>
      <c r="BW126" s="24">
        <f t="shared" si="93"/>
        <v>0</v>
      </c>
      <c r="BX126" s="24">
        <f t="shared" si="88"/>
        <v>0</v>
      </c>
      <c r="BY126" s="24">
        <f t="shared" si="88"/>
        <v>0</v>
      </c>
      <c r="BZ126" s="24">
        <f t="shared" si="88"/>
        <v>0</v>
      </c>
      <c r="CA126" s="24">
        <f t="shared" si="88"/>
        <v>0</v>
      </c>
      <c r="CB126" s="24">
        <f t="shared" si="88"/>
        <v>0</v>
      </c>
      <c r="CC126" s="24">
        <f t="shared" si="88"/>
        <v>0</v>
      </c>
      <c r="CD126" s="24">
        <f t="shared" si="88"/>
        <v>0</v>
      </c>
      <c r="CE126" s="27">
        <f t="shared" si="98"/>
        <v>0.95093749999999999</v>
      </c>
      <c r="CF126" s="24">
        <f t="shared" si="99"/>
        <v>182580000</v>
      </c>
      <c r="CG126" s="24"/>
      <c r="CH126" s="24">
        <f>+[2]OCTUBRE!$H$3292+[2]OCTUBRE!$H$3296+[2]OCTUBRE!$H$3300+[2]OCTUBRE!$H$3304+[2]OCTUBRE!$H$3327+[2]OCTUBRE!$H$3330+[2]OCTUBRE!$H$3340</f>
        <v>102863333</v>
      </c>
      <c r="CI126" s="24"/>
      <c r="CJ126" s="24"/>
      <c r="CK126" s="24"/>
      <c r="CL126" s="24">
        <f>+[4]JULIO!$H$2616+[4]JULIO!$H$2611+[4]JULIO!$H$2630+[4]JULIO!$H$2633</f>
        <v>79716667</v>
      </c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7">
        <f t="shared" si="59"/>
        <v>4.9062500000000009E-2</v>
      </c>
      <c r="DE126" s="24">
        <f t="shared" si="89"/>
        <v>9420000</v>
      </c>
      <c r="DF126" s="24">
        <f t="shared" si="96"/>
        <v>0</v>
      </c>
      <c r="DG126" s="24">
        <f t="shared" si="96"/>
        <v>9136667</v>
      </c>
      <c r="DH126" s="24">
        <f t="shared" si="96"/>
        <v>0</v>
      </c>
      <c r="DI126" s="24">
        <f t="shared" si="96"/>
        <v>0</v>
      </c>
      <c r="DJ126" s="24">
        <f t="shared" si="96"/>
        <v>0</v>
      </c>
      <c r="DK126" s="24">
        <f t="shared" si="96"/>
        <v>283333</v>
      </c>
      <c r="DL126" s="24">
        <f t="shared" si="96"/>
        <v>0</v>
      </c>
      <c r="DM126" s="24">
        <f t="shared" si="96"/>
        <v>0</v>
      </c>
      <c r="DN126" s="24">
        <f t="shared" si="96"/>
        <v>0</v>
      </c>
      <c r="DO126" s="24">
        <f t="shared" si="96"/>
        <v>0</v>
      </c>
      <c r="DP126" s="24">
        <f t="shared" si="96"/>
        <v>0</v>
      </c>
      <c r="DQ126" s="24">
        <f t="shared" si="96"/>
        <v>0</v>
      </c>
      <c r="DR126" s="24">
        <f t="shared" si="96"/>
        <v>0</v>
      </c>
      <c r="DS126" s="24">
        <f t="shared" si="96"/>
        <v>0</v>
      </c>
      <c r="DT126" s="24">
        <f t="shared" si="96"/>
        <v>0</v>
      </c>
      <c r="DU126" s="24">
        <f t="shared" si="94"/>
        <v>0</v>
      </c>
      <c r="DV126" s="24">
        <f t="shared" si="91"/>
        <v>0</v>
      </c>
      <c r="DW126" s="24">
        <f t="shared" si="91"/>
        <v>0</v>
      </c>
      <c r="DX126" s="24">
        <f t="shared" si="91"/>
        <v>0</v>
      </c>
      <c r="DY126" s="24">
        <f t="shared" si="91"/>
        <v>0</v>
      </c>
      <c r="DZ126" s="24">
        <f t="shared" si="91"/>
        <v>0</v>
      </c>
      <c r="EA126" s="24">
        <f t="shared" si="91"/>
        <v>0</v>
      </c>
      <c r="EB126" s="24">
        <f t="shared" si="91"/>
        <v>0</v>
      </c>
      <c r="ED126" s="150"/>
      <c r="EE126" s="45">
        <f t="shared" si="74"/>
        <v>192000000</v>
      </c>
      <c r="EF126" s="45">
        <f t="shared" si="75"/>
        <v>182580000</v>
      </c>
      <c r="EG126" s="159">
        <f t="shared" si="76"/>
        <v>0.95093749999999999</v>
      </c>
    </row>
    <row r="127" spans="1:137" ht="23.45" hidden="1" customHeight="1" x14ac:dyDescent="0.25">
      <c r="A127" s="208"/>
      <c r="B127" s="259" t="s">
        <v>360</v>
      </c>
      <c r="C127" s="260" t="s">
        <v>361</v>
      </c>
      <c r="D127" s="260" t="s">
        <v>362</v>
      </c>
      <c r="E127" s="260">
        <v>310</v>
      </c>
      <c r="F127" s="261" t="s">
        <v>240</v>
      </c>
      <c r="G127" s="24">
        <f t="shared" si="86"/>
        <v>57000000</v>
      </c>
      <c r="H127" s="25">
        <f>+'[15]SA 2020 2024'!$F54</f>
        <v>180000000</v>
      </c>
      <c r="I127" s="25">
        <f t="shared" si="92"/>
        <v>123000000</v>
      </c>
      <c r="J127" s="47"/>
      <c r="K127" s="24">
        <f>157000000-100000000</f>
        <v>57000000</v>
      </c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>
        <v>0</v>
      </c>
      <c r="AG127" s="27">
        <f t="shared" si="58"/>
        <v>0.70175438596491224</v>
      </c>
      <c r="AH127" s="24">
        <f t="shared" si="97"/>
        <v>40000000</v>
      </c>
      <c r="AI127" s="24"/>
      <c r="AJ127" s="24">
        <f>+'[9]ENERO 2020'!$K$428</f>
        <v>40000000</v>
      </c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7">
        <f t="shared" si="60"/>
        <v>0.29824561403508776</v>
      </c>
      <c r="BG127" s="24">
        <f t="shared" si="67"/>
        <v>17000000</v>
      </c>
      <c r="BH127" s="24">
        <f t="shared" si="95"/>
        <v>0</v>
      </c>
      <c r="BI127" s="24">
        <f t="shared" si="95"/>
        <v>17000000</v>
      </c>
      <c r="BJ127" s="24">
        <f t="shared" si="95"/>
        <v>0</v>
      </c>
      <c r="BK127" s="24">
        <f t="shared" si="95"/>
        <v>0</v>
      </c>
      <c r="BL127" s="24">
        <f t="shared" si="95"/>
        <v>0</v>
      </c>
      <c r="BM127" s="24">
        <f t="shared" si="95"/>
        <v>0</v>
      </c>
      <c r="BN127" s="24">
        <f t="shared" si="95"/>
        <v>0</v>
      </c>
      <c r="BO127" s="24">
        <f t="shared" si="95"/>
        <v>0</v>
      </c>
      <c r="BP127" s="24">
        <f t="shared" si="95"/>
        <v>0</v>
      </c>
      <c r="BQ127" s="24">
        <f t="shared" si="95"/>
        <v>0</v>
      </c>
      <c r="BR127" s="24">
        <f t="shared" si="95"/>
        <v>0</v>
      </c>
      <c r="BS127" s="24">
        <f t="shared" si="95"/>
        <v>0</v>
      </c>
      <c r="BT127" s="24">
        <f t="shared" si="95"/>
        <v>0</v>
      </c>
      <c r="BU127" s="24">
        <f t="shared" si="95"/>
        <v>0</v>
      </c>
      <c r="BV127" s="24">
        <f t="shared" si="95"/>
        <v>0</v>
      </c>
      <c r="BW127" s="24">
        <f t="shared" si="93"/>
        <v>0</v>
      </c>
      <c r="BX127" s="24">
        <f t="shared" si="88"/>
        <v>0</v>
      </c>
      <c r="BY127" s="24">
        <f t="shared" si="88"/>
        <v>0</v>
      </c>
      <c r="BZ127" s="24">
        <f t="shared" si="88"/>
        <v>0</v>
      </c>
      <c r="CA127" s="24">
        <f t="shared" si="88"/>
        <v>0</v>
      </c>
      <c r="CB127" s="24">
        <f t="shared" si="88"/>
        <v>0</v>
      </c>
      <c r="CC127" s="24">
        <f t="shared" si="88"/>
        <v>0</v>
      </c>
      <c r="CD127" s="24">
        <f t="shared" si="88"/>
        <v>0</v>
      </c>
      <c r="CE127" s="27">
        <f t="shared" si="98"/>
        <v>0.27984631578947367</v>
      </c>
      <c r="CF127" s="24">
        <f t="shared" si="99"/>
        <v>15951240</v>
      </c>
      <c r="CG127" s="24"/>
      <c r="CH127" s="24">
        <f>+[4]JULIO!$H$595+[4]JULIO!$H$600</f>
        <v>15951240</v>
      </c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7">
        <f t="shared" si="59"/>
        <v>0.72015368421052628</v>
      </c>
      <c r="DE127" s="24">
        <f t="shared" si="89"/>
        <v>41048760</v>
      </c>
      <c r="DF127" s="24">
        <f t="shared" si="96"/>
        <v>0</v>
      </c>
      <c r="DG127" s="24">
        <f t="shared" si="96"/>
        <v>41048760</v>
      </c>
      <c r="DH127" s="24">
        <f t="shared" si="96"/>
        <v>0</v>
      </c>
      <c r="DI127" s="24">
        <f t="shared" si="96"/>
        <v>0</v>
      </c>
      <c r="DJ127" s="24">
        <f t="shared" si="96"/>
        <v>0</v>
      </c>
      <c r="DK127" s="24">
        <f t="shared" si="96"/>
        <v>0</v>
      </c>
      <c r="DL127" s="24">
        <f t="shared" si="96"/>
        <v>0</v>
      </c>
      <c r="DM127" s="24">
        <f t="shared" si="96"/>
        <v>0</v>
      </c>
      <c r="DN127" s="24">
        <f t="shared" si="96"/>
        <v>0</v>
      </c>
      <c r="DO127" s="24">
        <f t="shared" si="96"/>
        <v>0</v>
      </c>
      <c r="DP127" s="24">
        <f t="shared" si="96"/>
        <v>0</v>
      </c>
      <c r="DQ127" s="24">
        <f t="shared" si="96"/>
        <v>0</v>
      </c>
      <c r="DR127" s="24">
        <f t="shared" si="96"/>
        <v>0</v>
      </c>
      <c r="DS127" s="24">
        <f t="shared" si="96"/>
        <v>0</v>
      </c>
      <c r="DT127" s="24">
        <f t="shared" si="96"/>
        <v>0</v>
      </c>
      <c r="DU127" s="24">
        <f t="shared" si="94"/>
        <v>0</v>
      </c>
      <c r="DV127" s="24">
        <f t="shared" si="91"/>
        <v>0</v>
      </c>
      <c r="DW127" s="24">
        <f t="shared" si="91"/>
        <v>0</v>
      </c>
      <c r="DX127" s="24">
        <f t="shared" si="91"/>
        <v>0</v>
      </c>
      <c r="DY127" s="24">
        <f t="shared" si="91"/>
        <v>0</v>
      </c>
      <c r="DZ127" s="24">
        <f t="shared" si="91"/>
        <v>0</v>
      </c>
      <c r="EA127" s="24">
        <f t="shared" si="91"/>
        <v>0</v>
      </c>
      <c r="EB127" s="24">
        <f t="shared" si="91"/>
        <v>0</v>
      </c>
      <c r="ED127" s="155" t="s">
        <v>385</v>
      </c>
      <c r="EE127" s="45">
        <f t="shared" si="74"/>
        <v>57000000</v>
      </c>
      <c r="EF127" s="45">
        <f t="shared" si="75"/>
        <v>15951240</v>
      </c>
      <c r="EG127" s="159">
        <f t="shared" si="76"/>
        <v>0.27984631578947367</v>
      </c>
    </row>
    <row r="128" spans="1:137" ht="49.5" hidden="1" customHeight="1" x14ac:dyDescent="0.25">
      <c r="A128" s="208"/>
      <c r="B128" s="259"/>
      <c r="C128" s="260" t="s">
        <v>363</v>
      </c>
      <c r="D128" s="260" t="s">
        <v>364</v>
      </c>
      <c r="E128" s="260">
        <v>310</v>
      </c>
      <c r="F128" s="261" t="s">
        <v>365</v>
      </c>
      <c r="G128" s="24">
        <f t="shared" si="86"/>
        <v>180000000</v>
      </c>
      <c r="H128" s="25">
        <f>+'[15]SA 2020 2024'!$F55</f>
        <v>80000000</v>
      </c>
      <c r="I128" s="25">
        <f t="shared" si="92"/>
        <v>-100000000</v>
      </c>
      <c r="J128" s="47"/>
      <c r="K128" s="24">
        <f>73000000+100000000</f>
        <v>173000000</v>
      </c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>
        <v>7000000</v>
      </c>
      <c r="AG128" s="27">
        <f t="shared" si="58"/>
        <v>0.44444444444444442</v>
      </c>
      <c r="AH128" s="24">
        <f t="shared" si="97"/>
        <v>80000000</v>
      </c>
      <c r="AI128" s="24"/>
      <c r="AJ128" s="24">
        <f>+'[5]FEBRERO 2020'!$K$616</f>
        <v>73000000</v>
      </c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>
        <f>+[8]AGOSTO!$AG$658</f>
        <v>7000000</v>
      </c>
      <c r="BF128" s="27">
        <f t="shared" si="60"/>
        <v>0.55555555555555558</v>
      </c>
      <c r="BG128" s="24">
        <f t="shared" si="67"/>
        <v>100000000</v>
      </c>
      <c r="BH128" s="24">
        <f t="shared" si="95"/>
        <v>0</v>
      </c>
      <c r="BI128" s="24">
        <f t="shared" si="95"/>
        <v>100000000</v>
      </c>
      <c r="BJ128" s="24">
        <f t="shared" si="95"/>
        <v>0</v>
      </c>
      <c r="BK128" s="24">
        <f t="shared" si="95"/>
        <v>0</v>
      </c>
      <c r="BL128" s="24">
        <f t="shared" si="95"/>
        <v>0</v>
      </c>
      <c r="BM128" s="24">
        <f t="shared" si="95"/>
        <v>0</v>
      </c>
      <c r="BN128" s="24">
        <f t="shared" si="95"/>
        <v>0</v>
      </c>
      <c r="BO128" s="24">
        <f t="shared" si="95"/>
        <v>0</v>
      </c>
      <c r="BP128" s="24">
        <f t="shared" si="95"/>
        <v>0</v>
      </c>
      <c r="BQ128" s="24">
        <f t="shared" si="95"/>
        <v>0</v>
      </c>
      <c r="BR128" s="24">
        <f t="shared" si="95"/>
        <v>0</v>
      </c>
      <c r="BS128" s="24">
        <f t="shared" si="95"/>
        <v>0</v>
      </c>
      <c r="BT128" s="24">
        <f t="shared" si="95"/>
        <v>0</v>
      </c>
      <c r="BU128" s="24">
        <f t="shared" si="95"/>
        <v>0</v>
      </c>
      <c r="BV128" s="24">
        <f t="shared" si="95"/>
        <v>0</v>
      </c>
      <c r="BW128" s="24">
        <f t="shared" si="93"/>
        <v>0</v>
      </c>
      <c r="BX128" s="24">
        <f t="shared" si="88"/>
        <v>0</v>
      </c>
      <c r="BY128" s="24">
        <f t="shared" si="88"/>
        <v>0</v>
      </c>
      <c r="BZ128" s="24">
        <f t="shared" si="88"/>
        <v>0</v>
      </c>
      <c r="CA128" s="24">
        <f t="shared" si="88"/>
        <v>0</v>
      </c>
      <c r="CB128" s="24">
        <f t="shared" si="88"/>
        <v>0</v>
      </c>
      <c r="CC128" s="24">
        <f t="shared" si="88"/>
        <v>0</v>
      </c>
      <c r="CD128" s="24">
        <f t="shared" si="88"/>
        <v>0</v>
      </c>
      <c r="CE128" s="27">
        <f t="shared" si="98"/>
        <v>0.15246645555555555</v>
      </c>
      <c r="CF128" s="24">
        <f t="shared" si="99"/>
        <v>27443962</v>
      </c>
      <c r="CG128" s="24"/>
      <c r="CH128" s="24">
        <f>+[3]SEPTIEMBRE!$H$739+[3]SEPTIEMBRE!$H$744</f>
        <v>24111962</v>
      </c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>
        <f>+[3]SEPTIEMBRE!$H$770</f>
        <v>3332000</v>
      </c>
      <c r="DD128" s="27">
        <f t="shared" si="59"/>
        <v>0.84753354444444451</v>
      </c>
      <c r="DE128" s="24">
        <f t="shared" si="89"/>
        <v>152556038</v>
      </c>
      <c r="DF128" s="24">
        <f t="shared" si="96"/>
        <v>0</v>
      </c>
      <c r="DG128" s="24">
        <f t="shared" si="96"/>
        <v>148888038</v>
      </c>
      <c r="DH128" s="24">
        <f t="shared" si="96"/>
        <v>0</v>
      </c>
      <c r="DI128" s="24">
        <f t="shared" si="96"/>
        <v>0</v>
      </c>
      <c r="DJ128" s="24">
        <f t="shared" si="96"/>
        <v>0</v>
      </c>
      <c r="DK128" s="24">
        <f t="shared" si="96"/>
        <v>0</v>
      </c>
      <c r="DL128" s="24">
        <f t="shared" si="96"/>
        <v>0</v>
      </c>
      <c r="DM128" s="24">
        <f t="shared" si="96"/>
        <v>0</v>
      </c>
      <c r="DN128" s="24">
        <f t="shared" si="96"/>
        <v>0</v>
      </c>
      <c r="DO128" s="24">
        <f t="shared" si="96"/>
        <v>0</v>
      </c>
      <c r="DP128" s="24">
        <f t="shared" si="96"/>
        <v>0</v>
      </c>
      <c r="DQ128" s="24">
        <f t="shared" si="96"/>
        <v>0</v>
      </c>
      <c r="DR128" s="24">
        <f t="shared" si="96"/>
        <v>0</v>
      </c>
      <c r="DS128" s="24">
        <f t="shared" si="96"/>
        <v>0</v>
      </c>
      <c r="DT128" s="24">
        <f t="shared" si="96"/>
        <v>0</v>
      </c>
      <c r="DU128" s="24">
        <f t="shared" si="94"/>
        <v>0</v>
      </c>
      <c r="DV128" s="24">
        <f t="shared" si="91"/>
        <v>0</v>
      </c>
      <c r="DW128" s="24">
        <f t="shared" si="91"/>
        <v>0</v>
      </c>
      <c r="DX128" s="24">
        <f t="shared" si="91"/>
        <v>0</v>
      </c>
      <c r="DY128" s="24">
        <f t="shared" si="91"/>
        <v>0</v>
      </c>
      <c r="DZ128" s="24">
        <f t="shared" si="91"/>
        <v>0</v>
      </c>
      <c r="EA128" s="24">
        <f t="shared" si="91"/>
        <v>0</v>
      </c>
      <c r="EB128" s="24">
        <f t="shared" si="91"/>
        <v>3668000</v>
      </c>
      <c r="ED128" s="150"/>
      <c r="EE128" s="45">
        <f t="shared" si="74"/>
        <v>180000000</v>
      </c>
      <c r="EF128" s="45">
        <f t="shared" si="75"/>
        <v>27443962</v>
      </c>
      <c r="EG128" s="159">
        <f t="shared" si="76"/>
        <v>0.15246645555555555</v>
      </c>
    </row>
    <row r="129" spans="1:139" s="44" customFormat="1" ht="20.25" customHeight="1" thickTop="1" thickBot="1" x14ac:dyDescent="0.3">
      <c r="A129" s="84"/>
      <c r="B129" s="259" t="s">
        <v>366</v>
      </c>
      <c r="C129" s="260"/>
      <c r="D129" s="260"/>
      <c r="E129" s="260"/>
      <c r="F129" s="261"/>
      <c r="G129" s="58">
        <f t="shared" ref="G129:AF129" si="100">SUM(G98:G128)</f>
        <v>18901874766</v>
      </c>
      <c r="H129" s="58">
        <f t="shared" si="100"/>
        <v>22362040000</v>
      </c>
      <c r="I129" s="58">
        <f t="shared" si="100"/>
        <v>3460165234</v>
      </c>
      <c r="J129" s="58">
        <f t="shared" si="100"/>
        <v>799415867</v>
      </c>
      <c r="K129" s="58">
        <f t="shared" si="100"/>
        <v>1369407500</v>
      </c>
      <c r="L129" s="58">
        <f t="shared" si="100"/>
        <v>0</v>
      </c>
      <c r="M129" s="58">
        <f t="shared" si="100"/>
        <v>60360507</v>
      </c>
      <c r="N129" s="58">
        <f t="shared" si="100"/>
        <v>10500000000</v>
      </c>
      <c r="O129" s="58">
        <f t="shared" si="100"/>
        <v>160000000</v>
      </c>
      <c r="P129" s="58">
        <f t="shared" si="100"/>
        <v>265157791</v>
      </c>
      <c r="Q129" s="58">
        <f t="shared" si="100"/>
        <v>199971441</v>
      </c>
      <c r="R129" s="58">
        <f t="shared" si="100"/>
        <v>425598133</v>
      </c>
      <c r="S129" s="58">
        <f t="shared" si="100"/>
        <v>271702575</v>
      </c>
      <c r="T129" s="58">
        <f t="shared" si="100"/>
        <v>270166669</v>
      </c>
      <c r="U129" s="58">
        <f t="shared" si="100"/>
        <v>363200802</v>
      </c>
      <c r="V129" s="58">
        <f t="shared" si="100"/>
        <v>101231112</v>
      </c>
      <c r="W129" s="58">
        <f t="shared" si="100"/>
        <v>459603682</v>
      </c>
      <c r="X129" s="58">
        <f t="shared" si="100"/>
        <v>183785326</v>
      </c>
      <c r="Y129" s="58">
        <f t="shared" si="100"/>
        <v>113002893</v>
      </c>
      <c r="Z129" s="58">
        <f t="shared" si="100"/>
        <v>0</v>
      </c>
      <c r="AA129" s="58">
        <f t="shared" si="100"/>
        <v>1839163507</v>
      </c>
      <c r="AB129" s="58">
        <f t="shared" si="100"/>
        <v>453648399</v>
      </c>
      <c r="AC129" s="58">
        <f t="shared" si="100"/>
        <v>0</v>
      </c>
      <c r="AD129" s="58">
        <f t="shared" si="100"/>
        <v>0</v>
      </c>
      <c r="AE129" s="58">
        <f t="shared" si="100"/>
        <v>198612987</v>
      </c>
      <c r="AF129" s="58">
        <f t="shared" si="100"/>
        <v>867845575</v>
      </c>
      <c r="AG129" s="59">
        <f t="shared" si="58"/>
        <v>0.47346363478705106</v>
      </c>
      <c r="AH129" s="58">
        <f t="shared" ref="AH129:BE129" si="101">SUM(AH98:AH128)</f>
        <v>8949350331</v>
      </c>
      <c r="AI129" s="58">
        <f t="shared" si="101"/>
        <v>703845566</v>
      </c>
      <c r="AJ129" s="58">
        <f t="shared" si="101"/>
        <v>1128077181</v>
      </c>
      <c r="AK129" s="58">
        <f t="shared" si="101"/>
        <v>0</v>
      </c>
      <c r="AL129" s="58">
        <f t="shared" si="101"/>
        <v>0</v>
      </c>
      <c r="AM129" s="58">
        <f t="shared" si="101"/>
        <v>3644933044</v>
      </c>
      <c r="AN129" s="58">
        <f t="shared" si="101"/>
        <v>80000000</v>
      </c>
      <c r="AO129" s="58">
        <f t="shared" si="101"/>
        <v>265157791</v>
      </c>
      <c r="AP129" s="58">
        <f t="shared" si="101"/>
        <v>156550279</v>
      </c>
      <c r="AQ129" s="58">
        <f t="shared" si="101"/>
        <v>311999999</v>
      </c>
      <c r="AR129" s="58">
        <f t="shared" si="101"/>
        <v>180103239</v>
      </c>
      <c r="AS129" s="58">
        <f t="shared" si="101"/>
        <v>70000000</v>
      </c>
      <c r="AT129" s="58">
        <f t="shared" si="101"/>
        <v>63000000</v>
      </c>
      <c r="AU129" s="58">
        <f t="shared" si="101"/>
        <v>37231112</v>
      </c>
      <c r="AV129" s="58">
        <f t="shared" si="101"/>
        <v>20000000</v>
      </c>
      <c r="AW129" s="58">
        <f t="shared" si="101"/>
        <v>20000000</v>
      </c>
      <c r="AX129" s="58">
        <f t="shared" si="101"/>
        <v>113002893</v>
      </c>
      <c r="AY129" s="58">
        <f t="shared" si="101"/>
        <v>0</v>
      </c>
      <c r="AZ129" s="58">
        <f t="shared" si="101"/>
        <v>1216305192</v>
      </c>
      <c r="BA129" s="58">
        <f t="shared" si="101"/>
        <v>85976539</v>
      </c>
      <c r="BB129" s="58">
        <f t="shared" si="101"/>
        <v>0</v>
      </c>
      <c r="BC129" s="58">
        <f t="shared" si="101"/>
        <v>0</v>
      </c>
      <c r="BD129" s="58">
        <f t="shared" si="101"/>
        <v>198612987</v>
      </c>
      <c r="BE129" s="58">
        <f t="shared" si="101"/>
        <v>654554509</v>
      </c>
      <c r="BF129" s="59">
        <f t="shared" si="60"/>
        <v>0.52653636521294889</v>
      </c>
      <c r="BG129" s="58">
        <f t="shared" ref="BG129:CD129" si="102">SUM(BG98:BG128)</f>
        <v>9952524435</v>
      </c>
      <c r="BH129" s="58">
        <f t="shared" si="102"/>
        <v>95570301</v>
      </c>
      <c r="BI129" s="58">
        <f t="shared" si="102"/>
        <v>241330319</v>
      </c>
      <c r="BJ129" s="58">
        <f t="shared" si="102"/>
        <v>0</v>
      </c>
      <c r="BK129" s="58">
        <f t="shared" si="102"/>
        <v>60360507</v>
      </c>
      <c r="BL129" s="58">
        <f t="shared" si="102"/>
        <v>6855066956</v>
      </c>
      <c r="BM129" s="58">
        <f t="shared" si="102"/>
        <v>80000000</v>
      </c>
      <c r="BN129" s="58">
        <f t="shared" si="102"/>
        <v>0</v>
      </c>
      <c r="BO129" s="58">
        <f t="shared" si="102"/>
        <v>43421162</v>
      </c>
      <c r="BP129" s="58">
        <f t="shared" si="102"/>
        <v>113598134</v>
      </c>
      <c r="BQ129" s="58">
        <f t="shared" si="102"/>
        <v>91599336</v>
      </c>
      <c r="BR129" s="58">
        <f t="shared" si="102"/>
        <v>200166669</v>
      </c>
      <c r="BS129" s="58">
        <f t="shared" si="102"/>
        <v>300200802</v>
      </c>
      <c r="BT129" s="58">
        <f t="shared" si="102"/>
        <v>64000000</v>
      </c>
      <c r="BU129" s="58">
        <f t="shared" si="102"/>
        <v>439603682</v>
      </c>
      <c r="BV129" s="58">
        <f t="shared" si="102"/>
        <v>163785326</v>
      </c>
      <c r="BW129" s="58">
        <f t="shared" si="102"/>
        <v>0</v>
      </c>
      <c r="BX129" s="58">
        <f t="shared" si="102"/>
        <v>0</v>
      </c>
      <c r="BY129" s="58">
        <f t="shared" si="102"/>
        <v>622858315</v>
      </c>
      <c r="BZ129" s="58">
        <f t="shared" si="102"/>
        <v>367671860</v>
      </c>
      <c r="CA129" s="58">
        <f t="shared" si="102"/>
        <v>0</v>
      </c>
      <c r="CB129" s="58">
        <f t="shared" si="102"/>
        <v>0</v>
      </c>
      <c r="CC129" s="58">
        <f t="shared" si="102"/>
        <v>0</v>
      </c>
      <c r="CD129" s="58">
        <f t="shared" si="102"/>
        <v>213291066</v>
      </c>
      <c r="CE129" s="59">
        <f t="shared" si="98"/>
        <v>0.41073190824250327</v>
      </c>
      <c r="CF129" s="58">
        <f>SUM(CF98:CF128)</f>
        <v>7763603092</v>
      </c>
      <c r="CG129" s="58">
        <f>SUM(CG98:CG128)</f>
        <v>621958094</v>
      </c>
      <c r="CH129" s="58">
        <f>SUM(CH98:CH128)</f>
        <v>989253530</v>
      </c>
      <c r="CI129" s="58">
        <f>SUM(CI98:CI128)</f>
        <v>0</v>
      </c>
      <c r="CJ129" s="58">
        <f>SUM(CI98:CI128)</f>
        <v>0</v>
      </c>
      <c r="CK129" s="58">
        <f t="shared" ref="CK129:DC129" si="103">SUM(CK98:CK128)</f>
        <v>3643156231</v>
      </c>
      <c r="CL129" s="58">
        <f t="shared" si="103"/>
        <v>79716667</v>
      </c>
      <c r="CM129" s="58">
        <f t="shared" si="103"/>
        <v>265157791</v>
      </c>
      <c r="CN129" s="58">
        <f t="shared" si="103"/>
        <v>90937029</v>
      </c>
      <c r="CO129" s="58">
        <f t="shared" si="103"/>
        <v>280120178</v>
      </c>
      <c r="CP129" s="58">
        <f t="shared" si="103"/>
        <v>177903931</v>
      </c>
      <c r="CQ129" s="58">
        <f t="shared" si="103"/>
        <v>59002046</v>
      </c>
      <c r="CR129" s="58">
        <f t="shared" si="103"/>
        <v>62934552</v>
      </c>
      <c r="CS129" s="58">
        <f t="shared" si="103"/>
        <v>0</v>
      </c>
      <c r="CT129" s="58">
        <f t="shared" si="103"/>
        <v>0</v>
      </c>
      <c r="CU129" s="58">
        <f t="shared" si="103"/>
        <v>0</v>
      </c>
      <c r="CV129" s="58">
        <f t="shared" si="103"/>
        <v>113002893</v>
      </c>
      <c r="CW129" s="58">
        <f t="shared" si="103"/>
        <v>0</v>
      </c>
      <c r="CX129" s="58">
        <f t="shared" si="103"/>
        <v>1113569232</v>
      </c>
      <c r="CY129" s="58">
        <f t="shared" si="103"/>
        <v>83906539</v>
      </c>
      <c r="CZ129" s="58">
        <f t="shared" si="103"/>
        <v>0</v>
      </c>
      <c r="DA129" s="58">
        <f t="shared" si="103"/>
        <v>0</v>
      </c>
      <c r="DB129" s="58">
        <f t="shared" si="103"/>
        <v>0</v>
      </c>
      <c r="DC129" s="58">
        <f t="shared" si="103"/>
        <v>182984379</v>
      </c>
      <c r="DD129" s="59">
        <f t="shared" si="59"/>
        <v>0.58926809175749673</v>
      </c>
      <c r="DE129" s="58">
        <f t="shared" ref="DE129:EB129" si="104">SUM(DE98:DE128)</f>
        <v>11138271674</v>
      </c>
      <c r="DF129" s="58">
        <f t="shared" si="104"/>
        <v>177457773</v>
      </c>
      <c r="DG129" s="58">
        <f t="shared" si="104"/>
        <v>380153970</v>
      </c>
      <c r="DH129" s="58">
        <f t="shared" si="104"/>
        <v>0</v>
      </c>
      <c r="DI129" s="58">
        <f t="shared" si="104"/>
        <v>60360507</v>
      </c>
      <c r="DJ129" s="58">
        <f t="shared" si="104"/>
        <v>6856843769</v>
      </c>
      <c r="DK129" s="58">
        <f t="shared" si="104"/>
        <v>80283333</v>
      </c>
      <c r="DL129" s="58">
        <f t="shared" si="104"/>
        <v>0</v>
      </c>
      <c r="DM129" s="58">
        <f t="shared" si="104"/>
        <v>109034412</v>
      </c>
      <c r="DN129" s="58">
        <f t="shared" si="104"/>
        <v>145477955</v>
      </c>
      <c r="DO129" s="58">
        <f t="shared" si="104"/>
        <v>93798644</v>
      </c>
      <c r="DP129" s="58">
        <f t="shared" si="104"/>
        <v>211164623</v>
      </c>
      <c r="DQ129" s="58">
        <f t="shared" si="104"/>
        <v>300266250</v>
      </c>
      <c r="DR129" s="58">
        <f t="shared" si="104"/>
        <v>101231112</v>
      </c>
      <c r="DS129" s="58">
        <f t="shared" si="104"/>
        <v>459603682</v>
      </c>
      <c r="DT129" s="58">
        <f t="shared" si="104"/>
        <v>183785326</v>
      </c>
      <c r="DU129" s="58">
        <f t="shared" si="104"/>
        <v>0</v>
      </c>
      <c r="DV129" s="58">
        <f t="shared" si="104"/>
        <v>0</v>
      </c>
      <c r="DW129" s="58">
        <f t="shared" si="104"/>
        <v>725594275</v>
      </c>
      <c r="DX129" s="58">
        <f t="shared" si="104"/>
        <v>369741860</v>
      </c>
      <c r="DY129" s="58">
        <f t="shared" si="104"/>
        <v>0</v>
      </c>
      <c r="DZ129" s="58">
        <f t="shared" si="104"/>
        <v>0</v>
      </c>
      <c r="EA129" s="58">
        <f t="shared" si="104"/>
        <v>198612987</v>
      </c>
      <c r="EB129" s="58">
        <f t="shared" si="104"/>
        <v>684861196</v>
      </c>
      <c r="ED129" s="155" t="s">
        <v>385</v>
      </c>
      <c r="EE129" s="45">
        <f t="shared" si="74"/>
        <v>18901874766</v>
      </c>
      <c r="EF129" s="45">
        <f t="shared" si="75"/>
        <v>7763603092</v>
      </c>
      <c r="EG129" s="159">
        <f t="shared" si="76"/>
        <v>0.41073190824250327</v>
      </c>
    </row>
    <row r="130" spans="1:139" ht="5.25" customHeight="1" thickTop="1" x14ac:dyDescent="0.25">
      <c r="C130" s="87"/>
      <c r="D130" s="87"/>
      <c r="E130" s="87"/>
      <c r="F130" s="87"/>
      <c r="G130" s="88"/>
      <c r="H130" s="89"/>
      <c r="I130" s="89"/>
      <c r="J130" s="88"/>
      <c r="K130" s="90"/>
      <c r="L130" s="88"/>
      <c r="M130" s="88"/>
      <c r="N130" s="88"/>
      <c r="O130" s="91"/>
      <c r="P130" s="91"/>
      <c r="Q130" s="91"/>
      <c r="R130" s="91"/>
      <c r="S130" s="91"/>
      <c r="T130" s="91"/>
      <c r="U130" s="91"/>
      <c r="V130" s="91"/>
      <c r="W130" s="91"/>
      <c r="X130" s="91"/>
      <c r="Y130" s="91"/>
      <c r="Z130" s="91"/>
      <c r="AA130" s="91"/>
      <c r="AB130" s="91"/>
      <c r="AC130" s="91"/>
      <c r="AD130" s="91"/>
      <c r="AE130" s="91"/>
      <c r="AF130" s="91"/>
      <c r="AG130" s="92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  <c r="AX130" s="93"/>
      <c r="AY130" s="93"/>
      <c r="AZ130" s="93"/>
      <c r="BA130" s="93"/>
      <c r="BB130" s="93"/>
      <c r="BC130" s="93"/>
      <c r="BD130" s="93"/>
      <c r="BE130" s="93"/>
      <c r="BF130" s="92"/>
      <c r="BG130" s="93"/>
      <c r="BH130" s="93"/>
      <c r="BI130" s="93"/>
      <c r="BJ130" s="93"/>
      <c r="BK130" s="93"/>
      <c r="BL130" s="93"/>
      <c r="BM130" s="93"/>
      <c r="BN130" s="93"/>
      <c r="BO130" s="93"/>
      <c r="BP130" s="93"/>
      <c r="BQ130" s="93"/>
      <c r="BR130" s="93"/>
      <c r="BS130" s="93"/>
      <c r="BT130" s="93"/>
      <c r="BU130" s="93"/>
      <c r="BV130" s="93"/>
      <c r="BW130" s="93"/>
      <c r="BX130" s="93"/>
      <c r="BY130" s="93"/>
      <c r="BZ130" s="93"/>
      <c r="CA130" s="93"/>
      <c r="CB130" s="93"/>
      <c r="CC130" s="93"/>
      <c r="CD130" s="93"/>
      <c r="CE130" s="48"/>
      <c r="CF130" s="94"/>
      <c r="CG130" s="93"/>
      <c r="CH130" s="93"/>
      <c r="CI130" s="93"/>
      <c r="CJ130" s="93"/>
      <c r="CK130" s="93"/>
      <c r="CL130" s="93"/>
      <c r="CM130" s="93"/>
      <c r="CN130" s="93"/>
      <c r="CO130" s="93"/>
      <c r="CP130" s="93"/>
      <c r="CQ130" s="93"/>
      <c r="CR130" s="93"/>
      <c r="CS130" s="93"/>
      <c r="CT130" s="93"/>
      <c r="CU130" s="93"/>
      <c r="CV130" s="93"/>
      <c r="CW130" s="93"/>
      <c r="CX130" s="93"/>
      <c r="CY130" s="93"/>
      <c r="CZ130" s="93"/>
      <c r="DA130" s="93"/>
      <c r="DB130" s="93"/>
      <c r="DC130" s="93"/>
      <c r="DD130" s="92"/>
      <c r="DE130" s="93"/>
      <c r="DF130" s="93"/>
      <c r="DG130" s="93"/>
      <c r="DH130" s="93"/>
      <c r="DI130" s="93"/>
      <c r="DJ130" s="93"/>
      <c r="DK130" s="93"/>
      <c r="DL130" s="93"/>
      <c r="DM130" s="93"/>
      <c r="DN130" s="93"/>
      <c r="DO130" s="93"/>
      <c r="DP130" s="93"/>
      <c r="DQ130" s="93"/>
      <c r="DR130" s="93"/>
      <c r="DS130" s="93"/>
      <c r="DT130" s="93"/>
      <c r="DU130" s="93"/>
      <c r="DV130" s="93"/>
      <c r="DW130" s="93"/>
      <c r="DX130" s="93"/>
      <c r="DY130" s="93"/>
      <c r="DZ130" s="93"/>
      <c r="EA130" s="93"/>
      <c r="EB130" s="93"/>
      <c r="EG130" s="159"/>
    </row>
    <row r="131" spans="1:139" ht="19.5" customHeight="1" x14ac:dyDescent="0.25">
      <c r="C131" s="247" t="s">
        <v>367</v>
      </c>
      <c r="D131" s="248"/>
      <c r="E131" s="249"/>
      <c r="F131" s="95"/>
      <c r="G131" s="93">
        <f t="shared" ref="G131:AF131" si="105">G24+G50+G77+G97+G129</f>
        <v>36582784878</v>
      </c>
      <c r="H131" s="96">
        <f t="shared" si="105"/>
        <v>45545351400.672722</v>
      </c>
      <c r="I131" s="96">
        <f t="shared" si="105"/>
        <v>8962566522.67272</v>
      </c>
      <c r="J131" s="93">
        <f t="shared" si="105"/>
        <v>1296139287</v>
      </c>
      <c r="K131" s="93">
        <f t="shared" si="105"/>
        <v>3070370559</v>
      </c>
      <c r="L131" s="93">
        <f t="shared" si="105"/>
        <v>29883260</v>
      </c>
      <c r="M131" s="93">
        <f t="shared" si="105"/>
        <v>376904086</v>
      </c>
      <c r="N131" s="93">
        <f t="shared" si="105"/>
        <v>10500000000</v>
      </c>
      <c r="O131" s="93">
        <f t="shared" si="105"/>
        <v>160000000</v>
      </c>
      <c r="P131" s="93">
        <f t="shared" si="105"/>
        <v>265157791</v>
      </c>
      <c r="Q131" s="93">
        <f t="shared" si="105"/>
        <v>2176724769</v>
      </c>
      <c r="R131" s="93">
        <f t="shared" si="105"/>
        <v>515598133</v>
      </c>
      <c r="S131" s="93">
        <f t="shared" si="105"/>
        <v>387702575</v>
      </c>
      <c r="T131" s="93">
        <f t="shared" si="105"/>
        <v>390301410</v>
      </c>
      <c r="U131" s="93">
        <f t="shared" si="105"/>
        <v>846056019</v>
      </c>
      <c r="V131" s="93">
        <f t="shared" si="105"/>
        <v>101231112</v>
      </c>
      <c r="W131" s="93">
        <f t="shared" si="105"/>
        <v>459603682</v>
      </c>
      <c r="X131" s="93">
        <f t="shared" si="105"/>
        <v>183785326</v>
      </c>
      <c r="Y131" s="93">
        <f t="shared" si="105"/>
        <v>5263002893</v>
      </c>
      <c r="Z131" s="93">
        <f t="shared" si="105"/>
        <v>1195065295</v>
      </c>
      <c r="AA131" s="93">
        <f t="shared" si="105"/>
        <v>2444583525</v>
      </c>
      <c r="AB131" s="93">
        <f t="shared" si="105"/>
        <v>1510249154</v>
      </c>
      <c r="AC131" s="93">
        <f t="shared" si="105"/>
        <v>1828902165</v>
      </c>
      <c r="AD131" s="93">
        <f t="shared" si="105"/>
        <v>320081566</v>
      </c>
      <c r="AE131" s="93">
        <f t="shared" si="105"/>
        <v>698746490</v>
      </c>
      <c r="AF131" s="93">
        <f t="shared" si="105"/>
        <v>2562695781</v>
      </c>
      <c r="AG131" s="27">
        <f>AH131/G131</f>
        <v>0.61389038871410773</v>
      </c>
      <c r="AH131" s="93">
        <f t="shared" ref="AH131:BE131" si="106">AH24+AH50+AH77+AH97+AH129</f>
        <v>22457820029</v>
      </c>
      <c r="AI131" s="93">
        <f t="shared" si="106"/>
        <v>827576731</v>
      </c>
      <c r="AJ131" s="66">
        <f t="shared" si="106"/>
        <v>2722407075</v>
      </c>
      <c r="AK131" s="66">
        <f t="shared" si="106"/>
        <v>24243035</v>
      </c>
      <c r="AL131" s="66">
        <f t="shared" si="106"/>
        <v>134000000</v>
      </c>
      <c r="AM131" s="66">
        <f t="shared" si="106"/>
        <v>3644933044</v>
      </c>
      <c r="AN131" s="66">
        <f t="shared" si="106"/>
        <v>80000000</v>
      </c>
      <c r="AO131" s="93">
        <f t="shared" si="106"/>
        <v>265157791</v>
      </c>
      <c r="AP131" s="93">
        <f t="shared" si="106"/>
        <v>1964146935</v>
      </c>
      <c r="AQ131" s="93">
        <f t="shared" si="106"/>
        <v>371999999</v>
      </c>
      <c r="AR131" s="93">
        <f t="shared" si="106"/>
        <v>260103239</v>
      </c>
      <c r="AS131" s="93">
        <f t="shared" si="106"/>
        <v>175134741</v>
      </c>
      <c r="AT131" s="93">
        <f t="shared" si="106"/>
        <v>540551251</v>
      </c>
      <c r="AU131" s="93">
        <f t="shared" si="106"/>
        <v>37231112</v>
      </c>
      <c r="AV131" s="93">
        <f t="shared" si="106"/>
        <v>20000000</v>
      </c>
      <c r="AW131" s="93">
        <f t="shared" si="106"/>
        <v>20000000</v>
      </c>
      <c r="AX131" s="93">
        <f t="shared" si="106"/>
        <v>3834190260</v>
      </c>
      <c r="AY131" s="93">
        <f t="shared" si="106"/>
        <v>1086714654</v>
      </c>
      <c r="AZ131" s="93">
        <f t="shared" si="106"/>
        <v>1745869750</v>
      </c>
      <c r="BA131" s="93">
        <f t="shared" si="106"/>
        <v>1018408730</v>
      </c>
      <c r="BB131" s="93">
        <f t="shared" si="106"/>
        <v>791164006</v>
      </c>
      <c r="BC131" s="93">
        <f t="shared" si="106"/>
        <v>290803643</v>
      </c>
      <c r="BD131" s="93">
        <f t="shared" si="106"/>
        <v>651112987</v>
      </c>
      <c r="BE131" s="93">
        <f t="shared" si="106"/>
        <v>1952071046</v>
      </c>
      <c r="BF131" s="97">
        <f>1-AG131</f>
        <v>0.38610961128589227</v>
      </c>
      <c r="BG131" s="93">
        <f t="shared" ref="BG131:CD131" si="107">BG24+BG50+BG77+BG97+BG129</f>
        <v>14124964849</v>
      </c>
      <c r="BH131" s="93">
        <f t="shared" si="107"/>
        <v>468562556</v>
      </c>
      <c r="BI131" s="66">
        <f t="shared" si="107"/>
        <v>347963484</v>
      </c>
      <c r="BJ131" s="66">
        <f t="shared" si="107"/>
        <v>5640225</v>
      </c>
      <c r="BK131" s="66">
        <f t="shared" si="107"/>
        <v>242904086</v>
      </c>
      <c r="BL131" s="66">
        <f t="shared" si="107"/>
        <v>6855066956</v>
      </c>
      <c r="BM131" s="66">
        <f t="shared" si="107"/>
        <v>80000000</v>
      </c>
      <c r="BN131" s="93">
        <f t="shared" si="107"/>
        <v>0</v>
      </c>
      <c r="BO131" s="93">
        <f t="shared" si="107"/>
        <v>212577834</v>
      </c>
      <c r="BP131" s="93">
        <f t="shared" si="107"/>
        <v>143598134</v>
      </c>
      <c r="BQ131" s="93">
        <f t="shared" si="107"/>
        <v>127599336</v>
      </c>
      <c r="BR131" s="93">
        <f t="shared" si="107"/>
        <v>215166669</v>
      </c>
      <c r="BS131" s="93">
        <f t="shared" si="107"/>
        <v>305504768</v>
      </c>
      <c r="BT131" s="93">
        <f t="shared" si="107"/>
        <v>64000000</v>
      </c>
      <c r="BU131" s="93">
        <f t="shared" si="107"/>
        <v>439603682</v>
      </c>
      <c r="BV131" s="93">
        <f t="shared" si="107"/>
        <v>163785326</v>
      </c>
      <c r="BW131" s="93">
        <f t="shared" si="107"/>
        <v>1428812633</v>
      </c>
      <c r="BX131" s="93">
        <f t="shared" si="107"/>
        <v>108350641</v>
      </c>
      <c r="BY131" s="93">
        <f t="shared" si="107"/>
        <v>698713775</v>
      </c>
      <c r="BZ131" s="93">
        <f t="shared" si="107"/>
        <v>491840424</v>
      </c>
      <c r="CA131" s="93">
        <f t="shared" si="107"/>
        <v>1037738159</v>
      </c>
      <c r="CB131" s="93">
        <f t="shared" si="107"/>
        <v>29277923</v>
      </c>
      <c r="CC131" s="93">
        <f t="shared" si="107"/>
        <v>47633503</v>
      </c>
      <c r="CD131" s="93">
        <f t="shared" si="107"/>
        <v>610624735</v>
      </c>
      <c r="CE131" s="27">
        <f>CF131/G131</f>
        <v>0.45337613028400892</v>
      </c>
      <c r="CF131" s="93">
        <f>CF24+CF50+CF77+CF97+CF129</f>
        <v>16585761443</v>
      </c>
      <c r="CG131" s="93">
        <f>CG24+CG50+CG77+CG97+CG129</f>
        <v>621958094</v>
      </c>
      <c r="CH131" s="93">
        <f>CH24+CH50+CH77+CH97+CH129</f>
        <v>2348222669</v>
      </c>
      <c r="CI131" s="93">
        <f>CI24+CI50+CI77+CI97+CJ129</f>
        <v>0</v>
      </c>
      <c r="CJ131" s="93">
        <f>CJ24+CJ50+CJ77+CJ97+CK129</f>
        <v>3643156231</v>
      </c>
      <c r="CK131" s="93">
        <f t="shared" ref="CK131:DC131" si="108">CK24+CK50+CK77+CK97+CK129</f>
        <v>3643156231</v>
      </c>
      <c r="CL131" s="93">
        <f t="shared" si="108"/>
        <v>79716667</v>
      </c>
      <c r="CM131" s="93">
        <f t="shared" si="108"/>
        <v>265157791</v>
      </c>
      <c r="CN131" s="93">
        <f t="shared" si="108"/>
        <v>864196600</v>
      </c>
      <c r="CO131" s="93">
        <f t="shared" si="108"/>
        <v>290444638</v>
      </c>
      <c r="CP131" s="93">
        <f t="shared" si="108"/>
        <v>189612791</v>
      </c>
      <c r="CQ131" s="93">
        <f t="shared" si="108"/>
        <v>74302196</v>
      </c>
      <c r="CR131" s="93">
        <f t="shared" si="108"/>
        <v>446784786</v>
      </c>
      <c r="CS131" s="93">
        <f t="shared" si="108"/>
        <v>0</v>
      </c>
      <c r="CT131" s="93">
        <f t="shared" si="108"/>
        <v>0</v>
      </c>
      <c r="CU131" s="93">
        <f t="shared" si="108"/>
        <v>0</v>
      </c>
      <c r="CV131" s="93">
        <f t="shared" si="108"/>
        <v>2833477327</v>
      </c>
      <c r="CW131" s="93">
        <f t="shared" si="108"/>
        <v>920497331</v>
      </c>
      <c r="CX131" s="93">
        <f t="shared" si="108"/>
        <v>1515683971</v>
      </c>
      <c r="CY131" s="93">
        <f t="shared" si="108"/>
        <v>684444407</v>
      </c>
      <c r="CZ131" s="93">
        <f t="shared" si="108"/>
        <v>509944628</v>
      </c>
      <c r="DA131" s="93">
        <f t="shared" si="108"/>
        <v>162631546</v>
      </c>
      <c r="DB131" s="93">
        <f t="shared" si="108"/>
        <v>56673333</v>
      </c>
      <c r="DC131" s="93">
        <f t="shared" si="108"/>
        <v>1078856437</v>
      </c>
      <c r="DD131" s="27">
        <f>1-CE131</f>
        <v>0.54662386971599108</v>
      </c>
      <c r="DE131" s="93">
        <f t="shared" ref="DE131:EB131" si="109">DE24+DE50+DE77+DE97+DE129</f>
        <v>19997023435</v>
      </c>
      <c r="DF131" s="93">
        <f t="shared" si="109"/>
        <v>674181193</v>
      </c>
      <c r="DG131" s="93">
        <f t="shared" si="109"/>
        <v>722147890</v>
      </c>
      <c r="DH131" s="93">
        <f t="shared" si="109"/>
        <v>29883260</v>
      </c>
      <c r="DI131" s="93">
        <f t="shared" si="109"/>
        <v>376904086</v>
      </c>
      <c r="DJ131" s="93">
        <f t="shared" si="109"/>
        <v>6856843769</v>
      </c>
      <c r="DK131" s="93">
        <f t="shared" si="109"/>
        <v>80283333</v>
      </c>
      <c r="DL131" s="93">
        <f t="shared" si="109"/>
        <v>0</v>
      </c>
      <c r="DM131" s="93">
        <f t="shared" si="109"/>
        <v>1312528169</v>
      </c>
      <c r="DN131" s="93">
        <f t="shared" si="109"/>
        <v>225153495</v>
      </c>
      <c r="DO131" s="93">
        <f t="shared" si="109"/>
        <v>198089784</v>
      </c>
      <c r="DP131" s="93">
        <f t="shared" si="109"/>
        <v>315999214</v>
      </c>
      <c r="DQ131" s="93">
        <f t="shared" si="109"/>
        <v>399271233</v>
      </c>
      <c r="DR131" s="93">
        <f t="shared" si="109"/>
        <v>101231112</v>
      </c>
      <c r="DS131" s="93">
        <f t="shared" si="109"/>
        <v>459603682</v>
      </c>
      <c r="DT131" s="93">
        <f t="shared" si="109"/>
        <v>183785326</v>
      </c>
      <c r="DU131" s="93">
        <f t="shared" si="109"/>
        <v>2429525566</v>
      </c>
      <c r="DV131" s="93">
        <f t="shared" si="109"/>
        <v>274567964</v>
      </c>
      <c r="DW131" s="93">
        <f t="shared" si="109"/>
        <v>928899554</v>
      </c>
      <c r="DX131" s="93">
        <f t="shared" si="109"/>
        <v>825804747</v>
      </c>
      <c r="DY131" s="93">
        <f t="shared" si="109"/>
        <v>1318957537</v>
      </c>
      <c r="DZ131" s="93">
        <f t="shared" si="109"/>
        <v>157450020</v>
      </c>
      <c r="EA131" s="93">
        <f t="shared" si="109"/>
        <v>642073157</v>
      </c>
      <c r="EB131" s="93">
        <f t="shared" si="109"/>
        <v>1483839344</v>
      </c>
      <c r="ED131" s="156" t="s">
        <v>41</v>
      </c>
      <c r="EE131" s="52">
        <f>EE24+EE50+EE77+EE97+EE129</f>
        <v>36582784878</v>
      </c>
      <c r="EF131" s="52">
        <f>EF24+EF50+EF77+EF97+EF129</f>
        <v>16585761443</v>
      </c>
      <c r="EG131" s="159">
        <f t="shared" si="76"/>
        <v>0.45337613028400892</v>
      </c>
      <c r="EI131">
        <f>10/12</f>
        <v>0.83333333333333337</v>
      </c>
    </row>
    <row r="132" spans="1:139" ht="5.25" customHeight="1" x14ac:dyDescent="0.25">
      <c r="C132" s="98"/>
      <c r="D132" s="98"/>
      <c r="E132" s="99"/>
      <c r="F132" s="99"/>
      <c r="G132" s="100"/>
      <c r="H132" s="101"/>
      <c r="I132" s="101"/>
      <c r="J132" s="100"/>
      <c r="K132" s="102"/>
      <c r="L132" s="100"/>
      <c r="M132" s="100"/>
      <c r="N132" s="100"/>
      <c r="O132" s="103"/>
      <c r="P132" s="103"/>
      <c r="Q132" s="103"/>
      <c r="R132" s="103"/>
      <c r="S132" s="103"/>
      <c r="T132" s="103"/>
      <c r="U132" s="103"/>
      <c r="V132" s="103"/>
      <c r="W132" s="103"/>
      <c r="X132" s="103"/>
      <c r="Y132" s="103"/>
      <c r="Z132" s="103"/>
      <c r="AA132" s="103"/>
      <c r="AB132" s="103"/>
      <c r="AC132" s="103"/>
      <c r="AD132" s="103"/>
      <c r="AE132" s="103"/>
      <c r="AF132" s="103"/>
      <c r="AG132" s="104"/>
      <c r="AH132" s="105"/>
      <c r="AI132" s="105"/>
      <c r="AJ132" s="105"/>
      <c r="AK132" s="105"/>
      <c r="AL132" s="105"/>
      <c r="AM132" s="105"/>
      <c r="AN132" s="105"/>
      <c r="AO132" s="105"/>
      <c r="AP132" s="103"/>
      <c r="AQ132" s="103"/>
      <c r="AR132" s="103"/>
      <c r="AS132" s="103"/>
      <c r="AT132" s="103"/>
      <c r="AU132" s="103"/>
      <c r="AV132" s="103"/>
      <c r="AW132" s="103"/>
      <c r="AX132" s="103"/>
      <c r="AY132" s="103"/>
      <c r="AZ132" s="103"/>
      <c r="BA132" s="103"/>
      <c r="BB132" s="103"/>
      <c r="BC132" s="103"/>
      <c r="BD132" s="103"/>
      <c r="BE132" s="103"/>
      <c r="BF132" s="104"/>
      <c r="BG132" s="105"/>
      <c r="BH132" s="105"/>
      <c r="BI132" s="105"/>
      <c r="BJ132" s="105"/>
      <c r="BK132" s="105"/>
      <c r="BL132" s="105"/>
      <c r="BM132" s="105"/>
      <c r="BN132" s="106"/>
      <c r="BO132" s="106"/>
      <c r="BP132" s="106"/>
      <c r="BQ132" s="106"/>
      <c r="BR132" s="106"/>
      <c r="BS132" s="106"/>
      <c r="BT132" s="106"/>
      <c r="BU132" s="106"/>
      <c r="BV132" s="106"/>
      <c r="BW132" s="106"/>
      <c r="BX132" s="106"/>
      <c r="BY132" s="106"/>
      <c r="BZ132" s="106"/>
      <c r="CA132" s="106"/>
      <c r="CB132" s="106"/>
      <c r="CC132" s="106"/>
      <c r="CD132" s="106"/>
      <c r="CE132" s="27"/>
      <c r="CF132" s="107"/>
      <c r="CG132" s="108"/>
      <c r="CH132" s="108"/>
      <c r="CI132" s="108"/>
      <c r="CJ132" s="108"/>
      <c r="CK132" s="108"/>
      <c r="CL132" s="108"/>
      <c r="CM132" s="103"/>
      <c r="CN132" s="103"/>
      <c r="CO132" s="103"/>
      <c r="CP132" s="103"/>
      <c r="CQ132" s="103"/>
      <c r="CR132" s="103"/>
      <c r="CS132" s="103"/>
      <c r="CT132" s="103"/>
      <c r="CU132" s="103"/>
      <c r="CV132" s="103"/>
      <c r="CW132" s="103"/>
      <c r="CX132" s="103"/>
      <c r="CY132" s="103"/>
      <c r="CZ132" s="103"/>
      <c r="DA132" s="103"/>
      <c r="DB132" s="103"/>
      <c r="DC132" s="103"/>
      <c r="DD132" s="27"/>
      <c r="DE132" s="109"/>
      <c r="DF132" s="105"/>
      <c r="DG132" s="105"/>
      <c r="DH132" s="105"/>
      <c r="DI132" s="105"/>
      <c r="DJ132" s="105"/>
      <c r="DK132" s="105"/>
      <c r="DL132" s="106"/>
      <c r="DM132" s="106"/>
      <c r="DN132" s="106"/>
      <c r="DO132" s="106"/>
      <c r="DP132" s="106"/>
      <c r="DQ132" s="106"/>
      <c r="DR132" s="106"/>
      <c r="DS132" s="106"/>
      <c r="DT132" s="106"/>
      <c r="DU132" s="106"/>
      <c r="DV132" s="106"/>
      <c r="DW132" s="106"/>
      <c r="DX132" s="106"/>
      <c r="DY132" s="106"/>
      <c r="DZ132" s="106"/>
      <c r="EA132" s="106"/>
      <c r="EB132" s="106"/>
    </row>
    <row r="133" spans="1:139" ht="16.5" customHeight="1" x14ac:dyDescent="0.25">
      <c r="C133" s="110"/>
      <c r="D133" s="111" t="s">
        <v>368</v>
      </c>
      <c r="E133" s="104">
        <v>111</v>
      </c>
      <c r="F133" s="112"/>
      <c r="G133" s="113">
        <f ca="1">SUMIF($E$6:$G$129,"111",$G$6:$J$128)</f>
        <v>12891038393</v>
      </c>
      <c r="H133" s="114">
        <f ca="1">SUMIF($E$6:$H$129,"111",$H$6:$J$128)</f>
        <v>12050040000</v>
      </c>
      <c r="I133" s="114">
        <f ca="1">SUMIF($E$6:$I$129,"111",$I$6:$J$128)</f>
        <v>-840998393</v>
      </c>
      <c r="J133" s="113">
        <f>SUMIF($E$6:$E$129,"111",$J$6:$J$129)</f>
        <v>300000000</v>
      </c>
      <c r="K133" s="113">
        <f>SUMIF($E$6:$E$129,"111",$K$6:$K$129)</f>
        <v>0</v>
      </c>
      <c r="L133" s="113">
        <f>SUMIF($E$6:$E$129,"111",$L$6:$L$129)</f>
        <v>0</v>
      </c>
      <c r="M133" s="113">
        <f>SUMIF($E$6:$E$129,"111",$M$6:$M$129)</f>
        <v>0</v>
      </c>
      <c r="N133" s="115">
        <f>SUMIF($E$6:$E$128,"111",$N$6:$N$128)</f>
        <v>10500000000</v>
      </c>
      <c r="O133" s="112">
        <f>SUMIF($E$6:$E$129,"111",$O$6:$O$129)</f>
        <v>0</v>
      </c>
      <c r="P133" s="112">
        <f>SUMIF($E$6:$E$128,"111",$P$6:$P$128)</f>
        <v>0</v>
      </c>
      <c r="Q133" s="112">
        <f>SUMIF($E$6:$E$128,"111",$Q$6:$Q$128)</f>
        <v>97495947</v>
      </c>
      <c r="R133" s="112">
        <f>SUMIF($E$6:$E$128,"111",$R$6:$R$128)</f>
        <v>76360820</v>
      </c>
      <c r="S133" s="112">
        <f>SUMIF($E$6:$E$128,"111",$S$6:$S$128)</f>
        <v>21825814</v>
      </c>
      <c r="T133" s="112">
        <f>SUMIF($E$6:$E$128,"111",$T$6:$T$128)</f>
        <v>160166669</v>
      </c>
      <c r="U133" s="112">
        <f>SUMIF($E$6:$E$128,"111",$U$6:$U$128)</f>
        <v>0</v>
      </c>
      <c r="V133" s="112">
        <f>SUMIF($E$6:$E$128,"111",$V$6:$V$128)</f>
        <v>64000000</v>
      </c>
      <c r="W133" s="112">
        <f>SUMIF($E$6:$E$128,"111",$W$6:$W$128)</f>
        <v>459603682</v>
      </c>
      <c r="X133" s="112">
        <f>SUMIF($E$6:$E$128,"111",$X$6:$X$128)</f>
        <v>183785326</v>
      </c>
      <c r="Y133" s="112">
        <f>SUMIF($E$6:$E$128,"111",$Y$6:$Y$128)</f>
        <v>0</v>
      </c>
      <c r="Z133" s="112">
        <f>SUMIF($E$6:$E$128,"111",$Z$6:$Z$128)</f>
        <v>0</v>
      </c>
      <c r="AA133" s="112">
        <f>SUMIF($E$6:$E$128,"111",$AA$6:$AA$128)</f>
        <v>459305098</v>
      </c>
      <c r="AB133" s="112">
        <f>SUMIF($E$6:$E$128,"111",$AB$6:$AB$128)</f>
        <v>353648399</v>
      </c>
      <c r="AC133" s="112">
        <f>SUMIF($E$6:$E$128,"111",$AC$6:$AC$128)</f>
        <v>0</v>
      </c>
      <c r="AD133" s="112">
        <f>SUMIF($E$6:$E$128,"111",$AC$6:$AC$128)</f>
        <v>0</v>
      </c>
      <c r="AE133" s="112">
        <f>SUMIF($E$6:$E$128,"111",$AE$6:$AE$128)</f>
        <v>123846638</v>
      </c>
      <c r="AF133" s="112">
        <f>SUMIF($E$6:$E$128,"111",$AF$6:$AF$128)</f>
        <v>91000000</v>
      </c>
      <c r="AG133" s="27">
        <f t="shared" ref="AG133:AG140" ca="1" si="110">AH133/G133</f>
        <v>0.32901694515960161</v>
      </c>
      <c r="AH133" s="115">
        <f>SUMIF($E$6:$E$128,"111",$AH$6:$AH$128)</f>
        <v>4241370072</v>
      </c>
      <c r="AI133" s="115">
        <f>SUMIF($E$6:$E$128,"111",$AI$6:$AI$128)</f>
        <v>255145313</v>
      </c>
      <c r="AJ133" s="115">
        <f>SUMIF($E$6:$E$128,"111",$AJ$6:$AJ$128)</f>
        <v>0</v>
      </c>
      <c r="AK133" s="115">
        <f>SUMIF($E$6:$E$128,"111",$AK$6:$AK$128)</f>
        <v>0</v>
      </c>
      <c r="AL133" s="115">
        <f>SUMIF($E$6:$E$128,"111",$AL$6:$AL$128)</f>
        <v>0</v>
      </c>
      <c r="AM133" s="115">
        <f>SUMIF($E$6:$E$128,"111",$AM$6:$AM$128)</f>
        <v>3644933044</v>
      </c>
      <c r="AN133" s="115">
        <f>SUMIF($E$6:$E$128,"111",$AN$6:$AN$128)</f>
        <v>0</v>
      </c>
      <c r="AO133" s="115">
        <f>SUMIF($E$6:$E$128,"111",$AO$6:$AO$128)</f>
        <v>0</v>
      </c>
      <c r="AP133" s="115">
        <f>SUMIF($E$6:$E$128,"111",$AP$6:$AP$128)</f>
        <v>90945077</v>
      </c>
      <c r="AQ133" s="115">
        <f>SUMIF($E$6:$E$128,"111",$AQ$6:$AQ$128)</f>
        <v>20000000</v>
      </c>
      <c r="AR133" s="115">
        <f>SUMIF($E$6:$E$128,"111",$AR$6:$AR$128)</f>
        <v>0</v>
      </c>
      <c r="AS133" s="115">
        <f>SUMIF($E$6:$E$128,"111",$AS$6:$AS$128)</f>
        <v>0</v>
      </c>
      <c r="AT133" s="115">
        <f>SUMIF($E$6:$E$128,"111",$AT$6:$AT$128)</f>
        <v>0</v>
      </c>
      <c r="AU133" s="115">
        <f>SUMIF($E$6:$E$128,"111",$AU$6:$AU$128)</f>
        <v>0</v>
      </c>
      <c r="AV133" s="115">
        <f>SUMIF($E$6:$E$128,"111",$AV$6:$AV$128)</f>
        <v>20000000</v>
      </c>
      <c r="AW133" s="115">
        <f>SUMIF($E$6:$E$128,"111",$AW$6:$AW$128)</f>
        <v>20000000</v>
      </c>
      <c r="AX133" s="115">
        <f>SUMIF($E$6:$E$128,"111",$AX$6:$AX$128)</f>
        <v>0</v>
      </c>
      <c r="AY133" s="115">
        <f>SUMIF($E$6:$E$128,"111",$AY$6:$AY$128)</f>
        <v>0</v>
      </c>
      <c r="AZ133" s="115">
        <f>SUMIF($E$6:$E$128,"111",$AZ$6:$AZ$128)</f>
        <v>7500000</v>
      </c>
      <c r="BA133" s="115">
        <f>SUMIF($E$6:$E$128,"111",$BA$6:$BA$128)</f>
        <v>0</v>
      </c>
      <c r="BB133" s="115">
        <f>SUMIF($E$6:$E$128,"111",$BB$6:$BB$128)</f>
        <v>0</v>
      </c>
      <c r="BC133" s="115">
        <f>SUMIF($E$6:$E$128,"111",$BC$6:$BC$128)</f>
        <v>0</v>
      </c>
      <c r="BD133" s="115">
        <f>SUMIF($E$6:$E$128,"111",$BD$6:$BD$128)</f>
        <v>123846638</v>
      </c>
      <c r="BE133" s="115">
        <f>SUMIF($E$6:$E$128,"111",$BE$6:$BE$128)</f>
        <v>59000000</v>
      </c>
      <c r="BF133" s="97">
        <f t="shared" ref="BF133:BF140" ca="1" si="111">1-AG133</f>
        <v>0.67098305484039833</v>
      </c>
      <c r="BG133" s="30">
        <f t="shared" ref="BG133:BG139" si="112">SUM(BH133:CD133)</f>
        <v>8649668321</v>
      </c>
      <c r="BH133" s="116">
        <f>SUMIF($E$6:$E$128,"111",$BH$6:$BH$128)</f>
        <v>44854687</v>
      </c>
      <c r="BI133" s="116">
        <f>SUMIF($E$6:$E$128,"111",$BI$6:$BI$128)</f>
        <v>0</v>
      </c>
      <c r="BJ133" s="116">
        <f>SUMIF($E$6:$E$128,"111",$BJ$6:$BJ$128)</f>
        <v>0</v>
      </c>
      <c r="BK133" s="116">
        <f>SUMIF($E$6:$E$128,"111",$BK$6:$BK$128)</f>
        <v>0</v>
      </c>
      <c r="BL133" s="116">
        <f>SUMIF($E$6:$E$128,"111",$BL$6:$BL$128)</f>
        <v>6855066956</v>
      </c>
      <c r="BM133" s="116">
        <f>SUMIF($E$6:$E$128,"111",$BM$6:$BM$128)</f>
        <v>0</v>
      </c>
      <c r="BN133" s="116">
        <f>SUMIF($E$6:$E$128,"111",$BN$6:$BN$128)</f>
        <v>0</v>
      </c>
      <c r="BO133" s="116">
        <f>SUMIF($E$6:$E$128,"111",$BO$6:$BO$128)</f>
        <v>6550870</v>
      </c>
      <c r="BP133" s="116">
        <f>SUMIF($E$6:$E$128,"111",$BP$6:$BP$128)</f>
        <v>56360820</v>
      </c>
      <c r="BQ133" s="116">
        <f>SUMIF($E$6:$E$128,"111",$BQ$6:$BQ$128)</f>
        <v>21825814</v>
      </c>
      <c r="BR133" s="116">
        <f>SUMIF($E$6:$E$128,"111",$BR$6:$BR$128)</f>
        <v>160166669</v>
      </c>
      <c r="BS133" s="116">
        <f>SUMIF($E$6:$E$128,"111",$BS$6:$BS$128)</f>
        <v>0</v>
      </c>
      <c r="BT133" s="116">
        <f>SUMIF($E$6:$E$128,"111",$BT$6:$BT$128)</f>
        <v>64000000</v>
      </c>
      <c r="BU133" s="116">
        <f>SUMIF($E$6:$E$128,"111",$BU$6:$BU$128)</f>
        <v>439603682</v>
      </c>
      <c r="BV133" s="116">
        <f>SUMIF($E$6:$E$128,"111",$BV$6:$BV$128)</f>
        <v>163785326</v>
      </c>
      <c r="BW133" s="116">
        <f>SUMIF($E$6:$E$128,"111",$BW$6:$BW$128)</f>
        <v>0</v>
      </c>
      <c r="BX133" s="116">
        <f>SUMIF($E$6:$E$128,"111",$BX$6:$BX$128)</f>
        <v>0</v>
      </c>
      <c r="BY133" s="116">
        <f>SUMIF($E$6:$E$128,"111",$BY$6:$BY$128)</f>
        <v>451805098</v>
      </c>
      <c r="BZ133" s="116">
        <f>SUMIF($E$6:$E$128,"111",$BZ$6:$BZ$128)</f>
        <v>353648399</v>
      </c>
      <c r="CA133" s="116">
        <f>SUMIF($E$6:$E$128,"111",$CA$6:$CA$128)</f>
        <v>0</v>
      </c>
      <c r="CB133" s="116">
        <f>SUMIF($E$6:$E$128,"111",$CB$6:$CB$128)</f>
        <v>0</v>
      </c>
      <c r="CC133" s="116">
        <f>SUMIF($E$6:$E$128,"111",$CC$6:$CC$128)</f>
        <v>0</v>
      </c>
      <c r="CD133" s="117">
        <f>SUMIF($E$6:$E$128,"111",$CD$6:$CD$128)</f>
        <v>32000000</v>
      </c>
      <c r="CE133" s="27">
        <f t="shared" ref="CE133:CE140" ca="1" si="113">CF133/G133</f>
        <v>0.31004646221287535</v>
      </c>
      <c r="CF133" s="47">
        <f t="shared" ref="CF133:CF139" si="114">SUM(CG133:DC133)</f>
        <v>3996820848</v>
      </c>
      <c r="CG133" s="115">
        <f>SUMIF($E$6:$E$128,"111",$CG$6:$CG$128)</f>
        <v>255145313</v>
      </c>
      <c r="CH133" s="115">
        <f>SUMIF($E$6:$E$128,"111",$CH$6:$CH$128)</f>
        <v>0</v>
      </c>
      <c r="CI133" s="115">
        <f>SUMIF($E$6:$E$128,"111",$CI$6:$CI$128)</f>
        <v>0</v>
      </c>
      <c r="CJ133" s="115">
        <f>SUMIF($E$6:$E$128,"111",$CJ$6:$CJ$128)</f>
        <v>0</v>
      </c>
      <c r="CK133" s="115">
        <f>SUMIF($E$6:$E$128,"111",$CK$6:$CK$128)</f>
        <v>3643156231</v>
      </c>
      <c r="CL133" s="115">
        <f>SUMIF($E$6:$E$128,"111",$CL$6:$CL$128)</f>
        <v>0</v>
      </c>
      <c r="CM133" s="115">
        <f>SUMIF($E$6:$E$128,"111",$CM$6:$CM$128)</f>
        <v>0</v>
      </c>
      <c r="CN133" s="115">
        <f>SUMIF($E$6:$E$128,"111",$CN$6:$CN$128)</f>
        <v>90937029</v>
      </c>
      <c r="CO133" s="115">
        <f>SUMIF($E$6:$E$128,"111",$CO$6:$CO$128)</f>
        <v>0</v>
      </c>
      <c r="CP133" s="115">
        <f>SUMIF($E$6:$E$128,"111",$CP$6:$CP$128)</f>
        <v>0</v>
      </c>
      <c r="CQ133" s="115">
        <f>SUMIF($E$6:$E$128,"111",$CQ$6:$CQ$128)</f>
        <v>0</v>
      </c>
      <c r="CR133" s="115">
        <f>SUMIF($E$6:$E$128,"111",$CR$6:$CR$128)</f>
        <v>0</v>
      </c>
      <c r="CS133" s="115">
        <f>SUMIF($E$6:$E$128,"111",$CS$6:$CS$128)</f>
        <v>0</v>
      </c>
      <c r="CT133" s="115">
        <f>SUMIF($E$6:$E$128,"111",$CT$6:$CT$128)</f>
        <v>0</v>
      </c>
      <c r="CU133" s="115">
        <f>SUMIF($E$6:$E$128,"111",$CU$6:$CU$128)</f>
        <v>0</v>
      </c>
      <c r="CV133" s="115">
        <f>SUMIF($E$6:$E$128,"111",$CV$6:$CV$128)</f>
        <v>0</v>
      </c>
      <c r="CW133" s="115">
        <f>SUMIF($E$6:$E$128,"111",$CW$6:$CW$128)</f>
        <v>0</v>
      </c>
      <c r="CX133" s="115">
        <f>SUMIF($E$6:$E$128,"111",$CX$6:$CX$128)</f>
        <v>0</v>
      </c>
      <c r="CY133" s="115">
        <f>SUMIF($E$6:$E$128,"111",$CY$6:$CY$128)</f>
        <v>0</v>
      </c>
      <c r="CZ133" s="115">
        <f>SUMIF($E$6:$E$128,"111",$CZ$6:$CZ$128)</f>
        <v>0</v>
      </c>
      <c r="DA133" s="115">
        <f>SUMIF($E$6:$E$128,"111",$DA$6:$DA$128)</f>
        <v>0</v>
      </c>
      <c r="DB133" s="115">
        <f>SUMIF($E$6:$E$128,"111",$DB$6:$DB$128)</f>
        <v>0</v>
      </c>
      <c r="DC133" s="118">
        <f>SUMIF($E$6:$E$128,"111",$DC$6:$DC$128)</f>
        <v>7582275</v>
      </c>
      <c r="DD133" s="27">
        <f t="shared" ref="DD133:DD140" ca="1" si="115">1-CE133</f>
        <v>0.68995353778712465</v>
      </c>
      <c r="DE133" s="30">
        <f t="shared" ref="DE133:DE139" si="116">SUM(DF133:EB133)</f>
        <v>8894217545</v>
      </c>
      <c r="DF133" s="116">
        <f>SUMIF($E$6:$E$128,"111",$DF$6:$DF$128)</f>
        <v>44854687</v>
      </c>
      <c r="DG133" s="116">
        <f>SUMIF($E$6:$E$128,"111",$DG$6:$DG$128)</f>
        <v>0</v>
      </c>
      <c r="DH133" s="116">
        <f>SUMIF($E$6:$E$128,"111",$DH$6:$DH$128)</f>
        <v>0</v>
      </c>
      <c r="DI133" s="116">
        <f>SUMIF($E$6:$E$128,"111",$DI$6:$DI$128)</f>
        <v>0</v>
      </c>
      <c r="DJ133" s="116">
        <f>SUMIF($E$6:$E$128,"111",$DJ$6:$DJ$128)</f>
        <v>6856843769</v>
      </c>
      <c r="DK133" s="116">
        <f>SUMIF($E$6:$E$128,"111",$DK$6:$DK$128)</f>
        <v>0</v>
      </c>
      <c r="DL133" s="116">
        <f>SUMIF($E$6:$E$128,"111",$DL$6:$DL$128)</f>
        <v>0</v>
      </c>
      <c r="DM133" s="116">
        <f>SUMIF($E$6:$E$128,"111",$DM$6:$DM$128)</f>
        <v>6558918</v>
      </c>
      <c r="DN133" s="116">
        <f>SUMIF($E$6:$E$128,"111",$DN$6:$DN$128)</f>
        <v>76360820</v>
      </c>
      <c r="DO133" s="116">
        <f>SUMIF($E$6:$E$128,"111",$DO$6:$DO$128)</f>
        <v>21825814</v>
      </c>
      <c r="DP133" s="116">
        <f>SUMIF($E$6:$E$128,"111",$DP$6:$DP$128)</f>
        <v>160166669</v>
      </c>
      <c r="DQ133" s="119">
        <f>SUMIF($E$6:$E$128,"111",$DQ$6:$DQ$128)</f>
        <v>0</v>
      </c>
      <c r="DR133" s="119">
        <f>SUMIF($E$6:$E$128,"111",$DR$6:$DR$128)</f>
        <v>64000000</v>
      </c>
      <c r="DS133" s="119">
        <f>SUMIF($E$6:$E$128,"111",$DS$6:$DS$128)</f>
        <v>459603682</v>
      </c>
      <c r="DT133" s="119">
        <f>SUMIF($E$6:$E$128,"111",$DT$6:$DT$128)</f>
        <v>183785326</v>
      </c>
      <c r="DU133" s="119">
        <f>SUMIF($E$6:$E$128,"111",$DU$6:$DU$128)</f>
        <v>0</v>
      </c>
      <c r="DV133" s="119">
        <f>SUMIF($E$6:$E$128,"111",$DV$6:$DV$128)</f>
        <v>0</v>
      </c>
      <c r="DW133" s="119">
        <f>SUMIF($E$6:$E$128,"111",$DW$6:$DW$128)</f>
        <v>459305098</v>
      </c>
      <c r="DX133" s="119">
        <f>SUMIF($E$6:$E$128,"111",$DX$6:$DX$128)</f>
        <v>353648399</v>
      </c>
      <c r="DY133" s="119">
        <f>SUMIF($E$6:$E$128,"111",$DY$6:$DY$128)</f>
        <v>0</v>
      </c>
      <c r="DZ133" s="119">
        <f>SUMIF($E$6:$E$128,"111",$DZ$6:$DZ$128)</f>
        <v>0</v>
      </c>
      <c r="EA133" s="119">
        <f>SUMIF($E$6:$E$128,"111",$EA$6:$EA$128)</f>
        <v>123846638</v>
      </c>
      <c r="EB133" s="119">
        <f>SUMIF($E$6:$E$128,"111",$EB$6:$EB$128)</f>
        <v>83417725</v>
      </c>
      <c r="ED133" s="148" t="s">
        <v>5</v>
      </c>
      <c r="EE133" s="158" t="s">
        <v>43</v>
      </c>
      <c r="EF133" s="158" t="s">
        <v>392</v>
      </c>
      <c r="EG133" s="158" t="s">
        <v>393</v>
      </c>
    </row>
    <row r="134" spans="1:139" ht="18" customHeight="1" x14ac:dyDescent="0.25">
      <c r="C134" s="120"/>
      <c r="D134" s="111" t="s">
        <v>369</v>
      </c>
      <c r="E134" s="104">
        <v>211</v>
      </c>
      <c r="F134" s="112"/>
      <c r="G134" s="113">
        <f ca="1">SUMIF($E$6:$G$129,"211",$G$6:$J$128)</f>
        <v>4803099363</v>
      </c>
      <c r="H134" s="114">
        <f ca="1">SUMIF($E$6:$H$129,"211",$H$6:$J$128)</f>
        <v>8602000000</v>
      </c>
      <c r="I134" s="114">
        <f ca="1">SUMIF($E$6:$I$129,"211",$I$6:$J$128)</f>
        <v>3798900637</v>
      </c>
      <c r="J134" s="113">
        <f>SUMIF($E$6:$E$129,"211",$J$6:$J$129)</f>
        <v>499415867</v>
      </c>
      <c r="K134" s="113">
        <f>SUMIF($E$6:$E$129,"211",$K$6:$K$129)</f>
        <v>568000000</v>
      </c>
      <c r="L134" s="113">
        <f>SUMIF($E$6:$E$129,"211",$L$6:$L$129)</f>
        <v>0</v>
      </c>
      <c r="M134" s="113">
        <f>SUMIF($E$6:$E$129,"211",$M$6:$M$129)</f>
        <v>60360507</v>
      </c>
      <c r="N134" s="115">
        <f>SUMIF($E$6:$E$128,"211",$N$6:$N$128)</f>
        <v>0</v>
      </c>
      <c r="O134" s="112">
        <f>SUMIF($E$6:$E$128,"211",$O$6:$O$128)</f>
        <v>80000000</v>
      </c>
      <c r="P134" s="112">
        <f>SUMIF($E$6:$E$128,"211",$P$6:$P$128)</f>
        <v>265157791</v>
      </c>
      <c r="Q134" s="112">
        <f>SUMIF($E$6:$E$128,"211",$Q$6:$Q$128)</f>
        <v>102475494</v>
      </c>
      <c r="R134" s="112">
        <f>SUMIF($E$6:$E$128,"211",$R$6:$R$128)</f>
        <v>349237313</v>
      </c>
      <c r="S134" s="112">
        <f>SUMIF($E$6:$E$128,"211",$S$6:$S$128)</f>
        <v>249876761</v>
      </c>
      <c r="T134" s="112">
        <f>SUMIF($E$6:$E$128,"211",$T$6:$T$128)</f>
        <v>110000000</v>
      </c>
      <c r="U134" s="112">
        <f>SUMIF($E$6:$E$128,"211",$U$6:$U$128)</f>
        <v>363200802</v>
      </c>
      <c r="V134" s="112">
        <f>SUMIF($E$6:$E$128,"211",$V$6:$V$128)</f>
        <v>37231112</v>
      </c>
      <c r="W134" s="112">
        <f>SUMIF($E$6:$E$128,"211",$W$6:$W$128)</f>
        <v>0</v>
      </c>
      <c r="X134" s="112">
        <f>SUMIF($E$6:$E$128,"211",$X$6:$X$128)</f>
        <v>0</v>
      </c>
      <c r="Y134" s="112">
        <f>SUMIF($E$6:$E$128,"211",$Y$6:$Y$128)</f>
        <v>113002893</v>
      </c>
      <c r="Z134" s="112">
        <f>SUMIF($E$6:$E$128,"211",$Z$6:$Z$128)</f>
        <v>0</v>
      </c>
      <c r="AA134" s="112">
        <f>SUMIF($E$6:$E$128,"211",$AA$6:$AA$128)</f>
        <v>1072228899</v>
      </c>
      <c r="AB134" s="112">
        <f>SUMIF($E$6:$E$128,"211",$AB$6:$AB$128)</f>
        <v>100000000</v>
      </c>
      <c r="AC134" s="112">
        <f>SUMIF($E$6:$E$128,"211",$AC$6:$AC$128)</f>
        <v>0</v>
      </c>
      <c r="AD134" s="112"/>
      <c r="AE134" s="112">
        <f>SUMIF($E$6:$E$128,"211",$AE$6:$AE$128)</f>
        <v>74766349</v>
      </c>
      <c r="AF134" s="112">
        <f>SUMIF($E$6:$E$128,"211",$AF$6:$AF$128)</f>
        <v>758145575</v>
      </c>
      <c r="AG134" s="27">
        <f t="shared" ca="1" si="110"/>
        <v>0.78511796363185082</v>
      </c>
      <c r="AH134" s="115">
        <f>SUMIF($E$6:$E$128,"211",$AH$6:$AH$128)</f>
        <v>3770999591</v>
      </c>
      <c r="AI134" s="115">
        <f>SUMIF($E$6:$E$128,"211",$AI$6:$AI$128)</f>
        <v>448700253</v>
      </c>
      <c r="AJ134" s="115">
        <f>SUMIF($E$6:$E$128,"211",$AJ$6:$AJ$128)</f>
        <v>555677181</v>
      </c>
      <c r="AK134" s="115">
        <f>SUMIF($E$6:$E$128,"211",$AK$6:$AK$128)</f>
        <v>0</v>
      </c>
      <c r="AL134" s="115">
        <f>SUMIF($E$6:$E$128,"211",$AL$6:$AL$128)</f>
        <v>0</v>
      </c>
      <c r="AM134" s="115">
        <f>SUMIF($E$6:$E$128,"211",$AM$6:$AM$128)</f>
        <v>0</v>
      </c>
      <c r="AN134" s="115">
        <f>SUMIF($E$6:$E$128,"211",$AN$6:$AN$128)</f>
        <v>0</v>
      </c>
      <c r="AO134" s="115">
        <f>SUMIF($E$6:$E$128,"211",$AO$6:$AO$128)</f>
        <v>265157791</v>
      </c>
      <c r="AP134" s="115">
        <f>SUMIF($E$6:$E$128,"211",$AP$6:$AP$128)</f>
        <v>65605202</v>
      </c>
      <c r="AQ134" s="115">
        <f>SUMIF($E$6:$E$128,"211",$AQ$6:$AQ$128)</f>
        <v>291999999</v>
      </c>
      <c r="AR134" s="115">
        <f>SUMIF($E$6:$E$128,"211",$AR$6:$AR$128)</f>
        <v>180103239</v>
      </c>
      <c r="AS134" s="115">
        <f>SUMIF($E$6:$E$128,"211",$AS$6:$AS$128)</f>
        <v>70000000</v>
      </c>
      <c r="AT134" s="115">
        <f>SUMIF($E$6:$E$128,"211",$AT$6:$AT$128)</f>
        <v>63000000</v>
      </c>
      <c r="AU134" s="115">
        <f>SUMIF($E$6:$E$128,"211",$AU$6:$AU$128)</f>
        <v>37231112</v>
      </c>
      <c r="AV134" s="115">
        <f>SUMIF($E$6:$E$128,"211",$AV$6:$AV$128)</f>
        <v>0</v>
      </c>
      <c r="AW134" s="115">
        <f>SUMIF($E$6:$E$128,"211",$AW$6:$AW$128)</f>
        <v>0</v>
      </c>
      <c r="AX134" s="115">
        <f>SUMIF($E$6:$E$128,"211",$AX$6:$AX$128)</f>
        <v>113002893</v>
      </c>
      <c r="AY134" s="115">
        <f>SUMIF($E$6:$E$128,"211",$AY$6:$AY$128)</f>
        <v>0</v>
      </c>
      <c r="AZ134" s="115">
        <f>SUMIF($E$6:$E$128,"211",$AZ$6:$AZ$128)</f>
        <v>942924524</v>
      </c>
      <c r="BA134" s="115">
        <f>SUMIF($E$6:$E$128,"211",$BA$6:$BA$128)</f>
        <v>85976539</v>
      </c>
      <c r="BB134" s="115">
        <f>SUMIF($E$6:$E$128,"211",$BB$6:$BB$128)</f>
        <v>0</v>
      </c>
      <c r="BC134" s="115">
        <f>SUMIF($E$6:$E$128,"211",$BC$6:$BC$128)</f>
        <v>0</v>
      </c>
      <c r="BD134" s="115">
        <f>SUMIF($E$6:$E$128,"211",$BD$6:$BD$128)</f>
        <v>74766349</v>
      </c>
      <c r="BE134" s="115">
        <f>SUMIF($E$6:$E$128,"211",$BE$6:$BE$128)</f>
        <v>576854509</v>
      </c>
      <c r="BF134" s="97">
        <f t="shared" ca="1" si="111"/>
        <v>0.21488203636814918</v>
      </c>
      <c r="BG134" s="30">
        <f t="shared" si="112"/>
        <v>1032099772</v>
      </c>
      <c r="BH134" s="116">
        <f>SUMIF($E$6:$E$128,"211",$BH$6:$BH$128)</f>
        <v>50715614</v>
      </c>
      <c r="BI134" s="116">
        <f>SUMIF($E$6:$E$128,"211",$BI$6:$BI$128)</f>
        <v>12322819</v>
      </c>
      <c r="BJ134" s="116">
        <f>SUMIF($E$6:$E$128,"211",$BJ$6:$BJ$128)</f>
        <v>0</v>
      </c>
      <c r="BK134" s="116">
        <f>SUMIF($E$6:$E$128,"211",$BK$6:$BK$128)</f>
        <v>60360507</v>
      </c>
      <c r="BL134" s="116">
        <f>SUMIF($E$6:$E$128,"211",$BL$6:$BL$128)</f>
        <v>0</v>
      </c>
      <c r="BM134" s="116">
        <f>SUMIF($E$6:$E$128,"211",$BM$6:$BM$128)</f>
        <v>80000000</v>
      </c>
      <c r="BN134" s="116">
        <f>SUMIF($E$6:$E$128,"211",$BN$6:$BN$128)</f>
        <v>0</v>
      </c>
      <c r="BO134" s="116">
        <f>SUMIF($E$6:$E$128,"211",$BO$6:$BO$128)</f>
        <v>36870292</v>
      </c>
      <c r="BP134" s="116">
        <f>SUMIF($E$6:$E$128,"211",$BP$6:$BP$128)</f>
        <v>57237314</v>
      </c>
      <c r="BQ134" s="116">
        <f>SUMIF($E$6:$E$128,"211",$BQ$6:$BQ$128)</f>
        <v>69773522</v>
      </c>
      <c r="BR134" s="116">
        <f>SUMIF($E$6:$E$128,"211",$BR$6:$BR$128)</f>
        <v>40000000</v>
      </c>
      <c r="BS134" s="116">
        <f>SUMIF($E$6:$E$128,"211",$BS$6:$BS$128)</f>
        <v>300200802</v>
      </c>
      <c r="BT134" s="116">
        <f>SUMIF($E$6:$E$128,"211",$BT$6:$BT$128)</f>
        <v>0</v>
      </c>
      <c r="BU134" s="116">
        <f>SUMIF($E$6:$E$128,"211",$BU$6:$BU$128)</f>
        <v>0</v>
      </c>
      <c r="BV134" s="116">
        <f>SUMIF($E$6:$E$128,"211",$BV$6:$BV$128)</f>
        <v>0</v>
      </c>
      <c r="BW134" s="116">
        <f>SUMIF($E$6:$E$128,"211",$BW$6:$BW$128)</f>
        <v>0</v>
      </c>
      <c r="BX134" s="116">
        <f>SUMIF($E$6:$E$128,"211",$BX$6:$BX$128)</f>
        <v>0</v>
      </c>
      <c r="BY134" s="116">
        <f>SUMIF($E$6:$E$128,"211",$BY$6:$BY$128)</f>
        <v>129304375</v>
      </c>
      <c r="BZ134" s="116">
        <f>SUMIF($E$6:$E$128,"211",$BZ$6:$BZ$128)</f>
        <v>14023461</v>
      </c>
      <c r="CA134" s="116">
        <f>SUMIF($E$6:$E$128,"211",$CA$6:$CA$128)</f>
        <v>0</v>
      </c>
      <c r="CB134" s="116">
        <f>SUMIF($E$6:$E$128,"211",$CB$6:$CB$128)</f>
        <v>0</v>
      </c>
      <c r="CC134" s="116">
        <f>SUMIF($E$6:$E$128,"211",$CC$6:$CC$128)</f>
        <v>0</v>
      </c>
      <c r="CD134" s="117">
        <f>SUMIF($E$6:$E$128,"211",$CD$6:$CD$128)</f>
        <v>181291066</v>
      </c>
      <c r="CE134" s="27">
        <f t="shared" ca="1" si="113"/>
        <v>0.61782209542850963</v>
      </c>
      <c r="CF134" s="47">
        <f t="shared" si="114"/>
        <v>2967460913</v>
      </c>
      <c r="CG134" s="115">
        <f>SUMIF($E$6:$E$128,"211",$CG$6:$CG$128)</f>
        <v>366812781</v>
      </c>
      <c r="CH134" s="115">
        <f>SUMIF($E$6:$E$128,"211",$CH$6:$CH$128)</f>
        <v>524880329</v>
      </c>
      <c r="CI134" s="115">
        <f>SUMIF($E$6:$E$128,"211",$CI$6:$CI$128)</f>
        <v>0</v>
      </c>
      <c r="CJ134" s="115">
        <f>SUMIF($E$6:$E$128,"211",$CJ$6:$CJ$128)</f>
        <v>0</v>
      </c>
      <c r="CK134" s="115">
        <f>SUMIF($E$6:$E$128,"211",$CK$6:$CK$128)</f>
        <v>0</v>
      </c>
      <c r="CL134" s="115">
        <f>SUMIF($E$6:$E$128,"211",$CL$6:$CL$128)</f>
        <v>0</v>
      </c>
      <c r="CM134" s="115">
        <f>SUMIF($E$6:$E$128,"211",$CM$6:$CM$128)</f>
        <v>265157791</v>
      </c>
      <c r="CN134" s="115">
        <f>SUMIF($E$6:$E$128,"211",$CN$6:$CN$128)</f>
        <v>0</v>
      </c>
      <c r="CO134" s="115">
        <f>SUMIF($E$6:$E$128,"211",$CO$6:$CO$128)</f>
        <v>280120178</v>
      </c>
      <c r="CP134" s="115">
        <f>SUMIF($E$6:$E$128,"211",$CP$6:$CP$128)</f>
        <v>177903931</v>
      </c>
      <c r="CQ134" s="115">
        <f>SUMIF($E$6:$E$128,"211",$CQ$6:$CQ$128)</f>
        <v>59002046</v>
      </c>
      <c r="CR134" s="115">
        <f>SUMIF($E$6:$E$128,"211",$CR$6:$CR$128)</f>
        <v>62934552</v>
      </c>
      <c r="CS134" s="115">
        <f>SUMIF($E$6:$E$128,"211",$CS$6:$CS$128)</f>
        <v>0</v>
      </c>
      <c r="CT134" s="115">
        <f>SUMIF($E$6:$E$128,"211",$CT$6:$CT$128)</f>
        <v>0</v>
      </c>
      <c r="CU134" s="115">
        <f>SUMIF($E$6:$E$128,"211",$CU$6:$CU$128)</f>
        <v>0</v>
      </c>
      <c r="CV134" s="115">
        <f>SUMIF($E$6:$E$128,"211",$CV$6:$CV$128)</f>
        <v>113002893</v>
      </c>
      <c r="CW134" s="115">
        <f>SUMIF($E$6:$E$128,"211",$CW$6:$CW$128)</f>
        <v>0</v>
      </c>
      <c r="CX134" s="115">
        <f>SUMIF($E$6:$E$128,"211",$CX$6:$CX$128)</f>
        <v>873359769</v>
      </c>
      <c r="CY134" s="115">
        <f>SUMIF($E$6:$E$128,"211",$CY$6:$CY$128)</f>
        <v>83906539</v>
      </c>
      <c r="CZ134" s="115">
        <f>SUMIF($E$6:$E$128,"211",$CZ$6:$CZ$128)</f>
        <v>0</v>
      </c>
      <c r="DA134" s="115">
        <f>SUMIF($E$6:$E$128,"211",$DA$6:$DA$128)</f>
        <v>0</v>
      </c>
      <c r="DB134" s="115">
        <f>SUMIF($E$6:$E$128,"211",$DB$6:$DB$128)</f>
        <v>0</v>
      </c>
      <c r="DC134" s="118">
        <f>SUMIF($E$6:$E$128,"211",$DC$6:$DC$128)</f>
        <v>160380104</v>
      </c>
      <c r="DD134" s="27">
        <f t="shared" ca="1" si="115"/>
        <v>0.38217790457149037</v>
      </c>
      <c r="DE134" s="30">
        <f t="shared" ca="1" si="116"/>
        <v>1835638450</v>
      </c>
      <c r="DF134" s="116">
        <f ca="1">SUMIF($E$6:$E$129,"211",$DF$6:$DF$128)</f>
        <v>132603086</v>
      </c>
      <c r="DG134" s="116">
        <f>SUMIF($E$6:$E$128,"211",$DG$6:$DG$128)</f>
        <v>43119671</v>
      </c>
      <c r="DH134" s="116">
        <f>SUMIF($E$6:$E$128,"211",$DH$6:$DH$128)</f>
        <v>0</v>
      </c>
      <c r="DI134" s="116">
        <f>SUMIF($E$6:$E$128,"211",$DI$6:$DI$128)</f>
        <v>60360507</v>
      </c>
      <c r="DJ134" s="116">
        <f>SUMIF($E$6:$E$128,"211",$DJ$6:$DJ$128)</f>
        <v>0</v>
      </c>
      <c r="DK134" s="116">
        <f>SUMIF($E$6:$E$128,"211",$DK$6:$DK$128)</f>
        <v>80000000</v>
      </c>
      <c r="DL134" s="116">
        <f>SUMIF($E$6:$E$128,"211",$DL$6:$DL$128)</f>
        <v>0</v>
      </c>
      <c r="DM134" s="116">
        <f>SUMIF($E$6:$E$128,"211",$DM$6:$DM$128)</f>
        <v>102475494</v>
      </c>
      <c r="DN134" s="116">
        <f>SUMIF($E$6:$E$128,"211",$DN$6:$DN$128)</f>
        <v>69117135</v>
      </c>
      <c r="DO134" s="116">
        <f>SUMIF($E$6:$E$128,"211",$DO$6:$DO$128)</f>
        <v>71972830</v>
      </c>
      <c r="DP134" s="119">
        <f>SUMIF($E$6:$E$128,"211",$DP$6:$DP$128)</f>
        <v>50997954</v>
      </c>
      <c r="DQ134" s="119">
        <f>SUMIF($E$6:$E$128,"211",$DQ$6:$DQ$128)</f>
        <v>300266250</v>
      </c>
      <c r="DR134" s="119">
        <f>SUMIF($E$6:$E$128,"211",$DR$6:$DR$128)</f>
        <v>37231112</v>
      </c>
      <c r="DS134" s="119">
        <f>SUMIF($E$6:$E$128,"211",$DS$6:$DS$128)</f>
        <v>0</v>
      </c>
      <c r="DT134" s="119">
        <f>SUMIF($E$6:$E$128,"211",$DT$6:$DT$128)</f>
        <v>0</v>
      </c>
      <c r="DU134" s="119">
        <f>SUMIF($E$6:$E$128,"211",$DU$6:$DU$128)</f>
        <v>0</v>
      </c>
      <c r="DV134" s="119">
        <f>SUMIF($E$6:$E$128,"211",$DV$6:$DV$128)</f>
        <v>0</v>
      </c>
      <c r="DW134" s="119">
        <f>SUMIF($E$6:$E$128,"211",$DW$6:$DW$128)</f>
        <v>198869130</v>
      </c>
      <c r="DX134" s="119">
        <f>SUMIF($E$6:$E$128,"211",$DX$6:$DX$128)</f>
        <v>16093461</v>
      </c>
      <c r="DY134" s="119">
        <f>SUMIF($E$6:$E$128,"211",$DY$6:$DY$128)</f>
        <v>0</v>
      </c>
      <c r="DZ134" s="119">
        <f>SUMIF($E$6:$E$128,"211",$DZ$6:$DZ$128)</f>
        <v>0</v>
      </c>
      <c r="EA134" s="119">
        <f>SUMIF($E$6:$E$128,"211",$EA$6:$EA$128)</f>
        <v>74766349</v>
      </c>
      <c r="EB134" s="119">
        <f>SUMIF($E$6:$E$128,"211",$EB$6:$EB$128)</f>
        <v>597765471</v>
      </c>
      <c r="ED134" s="151" t="s">
        <v>386</v>
      </c>
      <c r="EE134" s="52">
        <v>12891038393</v>
      </c>
      <c r="EF134" s="52">
        <v>3996820848</v>
      </c>
      <c r="EG134" s="160">
        <f ca="1">+CE133</f>
        <v>0.31004646221287535</v>
      </c>
    </row>
    <row r="135" spans="1:139" ht="18" customHeight="1" x14ac:dyDescent="0.25">
      <c r="C135" s="120"/>
      <c r="D135" s="111" t="s">
        <v>236</v>
      </c>
      <c r="E135" s="121">
        <v>301</v>
      </c>
      <c r="F135" s="112"/>
      <c r="G135" s="113">
        <f ca="1">SUMIF($E$6:$G$129,"301",$G$6:$J$128)</f>
        <v>3893748088</v>
      </c>
      <c r="H135" s="114">
        <f ca="1">SUMIF($E$6:$H$129,"301",$H$6:$J$128)</f>
        <v>4682573500</v>
      </c>
      <c r="I135" s="114">
        <f ca="1">SUMIF($E$6:$I$129,"301",$I$6:$J$128)</f>
        <v>788825412</v>
      </c>
      <c r="J135" s="113">
        <f>SUMIF($E$6:$E$129,"301",$J$6:$J$129)</f>
        <v>496723420</v>
      </c>
      <c r="K135" s="113">
        <f>SUMIF($E$6:$E$129,"301",$K$6:$K$129)</f>
        <v>0</v>
      </c>
      <c r="L135" s="113">
        <f>SUMIF($E$6:$E$129,"301",$L$6:$L$129)</f>
        <v>29883260</v>
      </c>
      <c r="M135" s="113">
        <f>SUMIF($E$6:$E$129,"301",$M$6:$M$129)</f>
        <v>34553122</v>
      </c>
      <c r="N135" s="115">
        <f>SUMIF($E$6:$E$128,"301",$N$6:$N$128)</f>
        <v>0</v>
      </c>
      <c r="O135" s="112">
        <f>SUMIF($E$6:$E$128,"301",$O$6:$O$128)</f>
        <v>0</v>
      </c>
      <c r="P135" s="112">
        <f>SUMIF($E$6:$E$128,"301",$P$6:$P$128)</f>
        <v>0</v>
      </c>
      <c r="Q135" s="112">
        <f>SUMIF($E$6:$E$128,"301",$Q$6:$Q$128)</f>
        <v>0</v>
      </c>
      <c r="R135" s="112">
        <f>SUMIF($E$6:$E$128,"301",$R$6:$R$128)</f>
        <v>0</v>
      </c>
      <c r="S135" s="112">
        <f>SUMIF($E$6:$E$128,"301",$S$6:$S$128)</f>
        <v>0</v>
      </c>
      <c r="T135" s="112">
        <f>SUMIF($E$6:$E$128,"301",$T$6:$T$128)</f>
        <v>0</v>
      </c>
      <c r="U135" s="112">
        <f>SUMIF($E$6:$E$128,"301",$U$6:$U$128)</f>
        <v>0</v>
      </c>
      <c r="V135" s="112">
        <f>SUMIF($E$6:$E$128,"301",$V$6:$V$128)</f>
        <v>0</v>
      </c>
      <c r="W135" s="112">
        <f>SUMIF($E$6:$E$128,"301",$W$6:$W$128)</f>
        <v>0</v>
      </c>
      <c r="X135" s="112">
        <f>SUMIF($E$6:$E$128,"301",$X$6:$X$128)</f>
        <v>0</v>
      </c>
      <c r="Y135" s="112">
        <f>SUMIF($E$6:$E$128,"301",$Y$6:$Y$128)</f>
        <v>0</v>
      </c>
      <c r="Z135" s="112">
        <f>SUMIF($E$6:$E$128,"301",$Z$6:$Z$128)</f>
        <v>1195065295</v>
      </c>
      <c r="AA135" s="112">
        <f>SUMIF($E$6:$E$128,"301",$AA$6:$AA$128)</f>
        <v>186024097</v>
      </c>
      <c r="AB135" s="112">
        <f>SUMIF($E$6:$E$128,"301",$AB$6:$AB$128)</f>
        <v>13975903</v>
      </c>
      <c r="AC135" s="112">
        <f>SUMIF($E$6:$E$128,"301",$AC$6:$AC$128)</f>
        <v>1828902165</v>
      </c>
      <c r="AD135" s="112"/>
      <c r="AE135" s="112">
        <f>SUMIF($E$6:$E$128,"301",$AE$6:$AE$128)</f>
        <v>0</v>
      </c>
      <c r="AF135" s="112">
        <f>SUMIF($E$6:$E$128,"301",$AF$6:$AF$128)</f>
        <v>108620826</v>
      </c>
      <c r="AG135" s="27">
        <f t="shared" ca="1" si="110"/>
        <v>0.58005224091425611</v>
      </c>
      <c r="AH135" s="115">
        <f>SUMIF($E$6:$E$128,"301",$AH$6:$AH$128)</f>
        <v>2258577304</v>
      </c>
      <c r="AI135" s="115">
        <f>SUMIF($E$6:$E$128,"301",$AI$6:$AI$128)</f>
        <v>123731165</v>
      </c>
      <c r="AJ135" s="115">
        <f>SUMIF($E$6:$E$128,"301",$AJ$6:$AJ$128)</f>
        <v>0</v>
      </c>
      <c r="AK135" s="115">
        <f>SUMIF($E$6:$E$128,"301",$AK$6:$AK$128)</f>
        <v>24243035</v>
      </c>
      <c r="AL135" s="115">
        <f>SUMIF($E$6:$E$128,"301",$AL$6:$AL$128)</f>
        <v>20000000</v>
      </c>
      <c r="AM135" s="115">
        <f>SUMIF($E$6:$E$128,"301",$AM$6:$AM$128)</f>
        <v>0</v>
      </c>
      <c r="AN135" s="115">
        <f>SUMIF($E$6:$E$128,"301",$AN$6:$AN$128)</f>
        <v>0</v>
      </c>
      <c r="AO135" s="115">
        <f>SUMIF($E$6:$E$128,"301",$AO$6:$AO$128)</f>
        <v>0</v>
      </c>
      <c r="AP135" s="115">
        <f>SUMIF($E$6:$E$128,"301",$AP$6:$AP$128)</f>
        <v>0</v>
      </c>
      <c r="AQ135" s="115">
        <f>SUMIF($E$6:$E$128,"301",$AQ$6:$AQ$128)</f>
        <v>0</v>
      </c>
      <c r="AR135" s="115">
        <f>SUMIF($E$6:$E$128,"301",$AR$6:$AR$128)</f>
        <v>0</v>
      </c>
      <c r="AS135" s="115">
        <f>SUMIF($E$6:$E$128,"301",$AS$6:$AS$128)</f>
        <v>0</v>
      </c>
      <c r="AT135" s="115">
        <f>SUMIF($E$6:$E$128,"301",$AT$6:$AT$128)</f>
        <v>0</v>
      </c>
      <c r="AU135" s="115">
        <f>SUMIF($E$6:$E$128,"301",$AU$6:$AU$128)</f>
        <v>0</v>
      </c>
      <c r="AV135" s="115">
        <f>SUMIF($E$6:$E$128,"301",$AV$6:$AV$128)</f>
        <v>0</v>
      </c>
      <c r="AW135" s="115">
        <f>SUMIF($E$6:$E$128,"301",$AW$6:$AW$128)</f>
        <v>0</v>
      </c>
      <c r="AX135" s="115">
        <f>SUMIF($E$6:$E$128,"301",$AX$6:$AX$128)</f>
        <v>0</v>
      </c>
      <c r="AY135" s="115">
        <f>SUMIF($E$6:$E$128,"301",$AY$6:$AY$128)</f>
        <v>1086714654</v>
      </c>
      <c r="AZ135" s="115">
        <f>SUMIF($E$6:$E$128,"301",$AZ$6:$AZ$128)</f>
        <v>144029244</v>
      </c>
      <c r="BA135" s="115">
        <f>SUMIF($E$6:$E$128,"301",$BA$6:$BA$128)</f>
        <v>13620000</v>
      </c>
      <c r="BB135" s="115">
        <f>SUMIF($E$6:$E$128,"301",$BB$6:$BB$128)</f>
        <v>791164006</v>
      </c>
      <c r="BC135" s="115">
        <f>SUMIF($E$6:$E$128,"301",$BC$6:$BC$128)</f>
        <v>0</v>
      </c>
      <c r="BD135" s="115">
        <f>SUMIF($E$6:$E$128,"301",$BD$6:$BD$128)</f>
        <v>0</v>
      </c>
      <c r="BE135" s="115">
        <f>SUMIF($E$6:$E$128,"301",$BE$6:$BE$128)</f>
        <v>55075200</v>
      </c>
      <c r="BF135" s="97">
        <f t="shared" ca="1" si="111"/>
        <v>0.41994775908574389</v>
      </c>
      <c r="BG135" s="30">
        <f t="shared" si="112"/>
        <v>1635170784</v>
      </c>
      <c r="BH135" s="116">
        <f>SUMIF($E$6:$E$128,"301",$BH$6:$BH$128)</f>
        <v>372992255</v>
      </c>
      <c r="BI135" s="116">
        <f>SUMIF($E$6:$E$128,"301",$BI$6:$BI$128)</f>
        <v>0</v>
      </c>
      <c r="BJ135" s="116">
        <f>SUMIF($E$6:$E$128,"301",$BJ$6:$BJ$128)</f>
        <v>5640225</v>
      </c>
      <c r="BK135" s="116">
        <f>SUMIF($E$6:$E$128,"301",$BK$6:$BK$128)</f>
        <v>14553122</v>
      </c>
      <c r="BL135" s="116">
        <f>SUMIF($E$6:$E$128,"301",$BL$6:$BL$128)</f>
        <v>0</v>
      </c>
      <c r="BM135" s="116">
        <f>SUMIF($E$6:$E$128,"301",$BM$6:$BM$128)</f>
        <v>0</v>
      </c>
      <c r="BN135" s="116">
        <f>SUMIF($E$6:$E$128,"301",$BN$6:$BN$128)</f>
        <v>0</v>
      </c>
      <c r="BO135" s="116">
        <f>SUMIF($E$6:$E$128,"301",$BO$6:$BO$128)</f>
        <v>0</v>
      </c>
      <c r="BP135" s="116">
        <f>SUMIF($E$6:$E$128,"301",$BP$6:$BP$128)</f>
        <v>0</v>
      </c>
      <c r="BQ135" s="116">
        <f>SUMIF($E$6:$E$128,"301",$BQ$6:$BQ$128)</f>
        <v>0</v>
      </c>
      <c r="BR135" s="116">
        <f>SUMIF($E$6:$E$128,"301",$BR$6:$BR$128)</f>
        <v>0</v>
      </c>
      <c r="BS135" s="116">
        <f>SUMIF($E$6:$E$128,"301",$BS$6:$BS$128)</f>
        <v>0</v>
      </c>
      <c r="BT135" s="116">
        <f>SUMIF($E$6:$E$128,"301",$BT$6:$BT$128)</f>
        <v>0</v>
      </c>
      <c r="BU135" s="116">
        <f>SUMIF($E$6:$E$128,"301",$BU$6:$BU$128)</f>
        <v>0</v>
      </c>
      <c r="BV135" s="116">
        <f>SUMIF($E$6:$E$128,"301",$BV$6:$BV$128)</f>
        <v>0</v>
      </c>
      <c r="BW135" s="116">
        <f>SUMIF($E$6:$E$128,"301",$BW$6:$BW$128)</f>
        <v>0</v>
      </c>
      <c r="BX135" s="116">
        <f>SUMIF($E$6:$E$128,"301",$BX$6:$BX$128)</f>
        <v>108350641</v>
      </c>
      <c r="BY135" s="116">
        <f>SUMIF($E$6:$E$128,"301",$BY$6:$BY$128)</f>
        <v>41994853</v>
      </c>
      <c r="BZ135" s="116">
        <f>SUMIF($E$6:$E$128,"301",$BZ$6:$BZ$128)</f>
        <v>355903</v>
      </c>
      <c r="CA135" s="116">
        <f>SUMIF($E$6:$E$128,"301",$CA$6:$CA$128)</f>
        <v>1037738159</v>
      </c>
      <c r="CB135" s="116">
        <f>SUMIF($E$6:$E$128,"301",$CB$6:$CB$128)</f>
        <v>0</v>
      </c>
      <c r="CC135" s="116">
        <f>SUMIF($E$6:$E$128,"301",$CC$6:$CC$128)</f>
        <v>0</v>
      </c>
      <c r="CD135" s="117">
        <f>SUMIF($E$6:$E$128,"301",$CD$6:$CD$128)</f>
        <v>53545626</v>
      </c>
      <c r="CE135" s="27">
        <f t="shared" ca="1" si="113"/>
        <v>0.41875001313644306</v>
      </c>
      <c r="CF135" s="47">
        <f t="shared" si="114"/>
        <v>1630507063</v>
      </c>
      <c r="CG135" s="115">
        <f>SUMIF($E$6:$E$128,"301",$CG$6:$CG$128)</f>
        <v>0</v>
      </c>
      <c r="CH135" s="115">
        <f>SUMIF($E$6:$E$128,"301",$CH$6:$CH$128)</f>
        <v>0</v>
      </c>
      <c r="CI135" s="115">
        <f>SUMIF($E$6:$E$128,"301",$CI$6:$CI$128)</f>
        <v>0</v>
      </c>
      <c r="CJ135" s="115">
        <f>SUMIF($E$6:$E$128,"301",$CJ$6:$CJ$128)</f>
        <v>0</v>
      </c>
      <c r="CK135" s="115">
        <f>SUMIF($E$6:$E$128,"301",$CK$6:$CK$128)</f>
        <v>0</v>
      </c>
      <c r="CL135" s="115">
        <f>SUMIF($E$6:$E$128,"301",$CL$6:$CL$128)</f>
        <v>0</v>
      </c>
      <c r="CM135" s="115">
        <f>SUMIF($E$6:$E$128,"301",$CM$6:$CM$128)</f>
        <v>0</v>
      </c>
      <c r="CN135" s="115">
        <f>SUMIF($E$6:$E$128,"301",$CN$6:$CN$128)</f>
        <v>0</v>
      </c>
      <c r="CO135" s="115">
        <f>SUMIF($E$6:$E$128,"301",$CO$6:$CO$128)</f>
        <v>0</v>
      </c>
      <c r="CP135" s="115">
        <f>SUMIF($E$6:$E$128,"301",$CP$6:$CP$128)</f>
        <v>0</v>
      </c>
      <c r="CQ135" s="115">
        <f>SUMIF($E$6:$E$128,"301",$CQ$6:$CQ$128)</f>
        <v>0</v>
      </c>
      <c r="CR135" s="115">
        <f>SUMIF($E$6:$E$128,"301",$CR$6:$CR$128)</f>
        <v>0</v>
      </c>
      <c r="CS135" s="115">
        <f>SUMIF($E$6:$E$128,"301",$CS$6:$CS$128)</f>
        <v>0</v>
      </c>
      <c r="CT135" s="115">
        <f>SUMIF($E$6:$E$128,"301",$CT$6:$CT$128)</f>
        <v>0</v>
      </c>
      <c r="CU135" s="115">
        <f>SUMIF($E$6:$E$128,"301",$CU$6:$CU$128)</f>
        <v>0</v>
      </c>
      <c r="CV135" s="115">
        <f>SUMIF($E$6:$E$128,"301",$CV$6:$CV$128)</f>
        <v>0</v>
      </c>
      <c r="CW135" s="115">
        <f>SUMIF($E$6:$E$128,"301",$CW$6:$CW$128)</f>
        <v>920497331</v>
      </c>
      <c r="CX135" s="115">
        <f>SUMIF($E$6:$E$128,"301",$CX$6:$CX$128)</f>
        <v>141620104</v>
      </c>
      <c r="CY135" s="115">
        <f>SUMIF($E$6:$E$128,"301",$CY$6:$CY$128)</f>
        <v>13620000</v>
      </c>
      <c r="CZ135" s="115">
        <f>SUMIF($E$6:$E$128,"301",$CZ$6:$CZ$128)</f>
        <v>509944628</v>
      </c>
      <c r="DA135" s="115">
        <f>SUMIF($E$6:$E$128,"301",$DA$6:$DA$128)</f>
        <v>0</v>
      </c>
      <c r="DB135" s="115">
        <f>SUMIF($E$6:$E$128,"301",$DB$6:$DB$128)</f>
        <v>0</v>
      </c>
      <c r="DC135" s="118">
        <f>SUMIF($E$6:$E$128,"301",$DC$6:$DC$128)</f>
        <v>44825000</v>
      </c>
      <c r="DD135" s="27">
        <f t="shared" ca="1" si="115"/>
        <v>0.581249986863557</v>
      </c>
      <c r="DE135" s="30">
        <f t="shared" ca="1" si="116"/>
        <v>2263241025</v>
      </c>
      <c r="DF135" s="116">
        <f ca="1">SUMIF($E$6:$E$129,"301",$DF$6:$DF$128)</f>
        <v>496723420</v>
      </c>
      <c r="DG135" s="116">
        <f>SUMIF($E$6:$E$128,"301",$DG$6:$DG$128)</f>
        <v>0</v>
      </c>
      <c r="DH135" s="116">
        <f>SUMIF($E$6:$E$128,"301",$DH$6:$DH$128)</f>
        <v>29883260</v>
      </c>
      <c r="DI135" s="116">
        <f>SUMIF($E$6:$E$128,"301",$DI$6:$DI$128)</f>
        <v>34553122</v>
      </c>
      <c r="DJ135" s="116">
        <f>SUMIF($E$6:$E$128,"301",$DJ$6:$DJ$128)</f>
        <v>0</v>
      </c>
      <c r="DK135" s="116">
        <f>SUMIF($E$6:$E$128,"301",$DK$6:$DK$128)</f>
        <v>0</v>
      </c>
      <c r="DL135" s="116">
        <f>SUMIF($E$6:$E$128,"301",$DL$6:$DL$128)</f>
        <v>0</v>
      </c>
      <c r="DM135" s="116">
        <f>SUMIF($E$6:$E$128,"301",$DM$6:$DM$128)</f>
        <v>0</v>
      </c>
      <c r="DN135" s="116">
        <f>SUMIF($E$6:$E$128,"301",$DN$6:$DN$128)</f>
        <v>0</v>
      </c>
      <c r="DO135" s="116">
        <f>SUMIF($E$6:$E$128,"301",$DO$6:$DO$128)</f>
        <v>0</v>
      </c>
      <c r="DP135" s="119">
        <f>SUMIF($E$6:$E$128,"301",$DP$6:$DP$128)</f>
        <v>0</v>
      </c>
      <c r="DQ135" s="119">
        <f>SUMIF($E$6:$E$128,"301",$DQ$6:$DQ$128)</f>
        <v>0</v>
      </c>
      <c r="DR135" s="119">
        <f>SUMIF($E$6:$E$128,"301",$DR$6:$DR$128)</f>
        <v>0</v>
      </c>
      <c r="DS135" s="119">
        <f>SUMIF($E$6:$E$128,"301",$DS$6:$DS$128)</f>
        <v>0</v>
      </c>
      <c r="DT135" s="119">
        <f>SUMIF($E$6:$E$128,"301",$DT$6:$DT$128)</f>
        <v>0</v>
      </c>
      <c r="DU135" s="119">
        <f>SUMIF($E$6:$E$128,"301",$DU$6:$DU$128)</f>
        <v>0</v>
      </c>
      <c r="DV135" s="119">
        <f>SUMIF($E$6:$E$128,"301",$DV$6:$DV$128)</f>
        <v>274567964</v>
      </c>
      <c r="DW135" s="119">
        <f>SUMIF($E$6:$E$128,"301",$DW$6:$DW$128)</f>
        <v>44403993</v>
      </c>
      <c r="DX135" s="119">
        <f>SUMIF($E$6:$E$128,"301",$DX$6:$DX$128)</f>
        <v>355903</v>
      </c>
      <c r="DY135" s="119">
        <f>SUMIF($E$6:$E$128,"301",$DY$6:$DY$128)</f>
        <v>1318957537</v>
      </c>
      <c r="DZ135" s="119">
        <f>SUMIF($E$6:$E$128,"301",$DZ$6:$DZ$128)</f>
        <v>0</v>
      </c>
      <c r="EA135" s="119">
        <f>SUMIF($E$6:$E$128,"301",$EA$6:$EA$128)</f>
        <v>0</v>
      </c>
      <c r="EB135" s="119">
        <f>SUMIF($E$6:$E$128,"301",$EB$6:$EB$128)</f>
        <v>63795826</v>
      </c>
      <c r="ED135" s="151" t="s">
        <v>387</v>
      </c>
      <c r="EE135" s="52">
        <v>4803099363</v>
      </c>
      <c r="EF135" s="52">
        <v>2967460913</v>
      </c>
      <c r="EG135" s="160">
        <f t="shared" ref="EG135:EG140" ca="1" si="117">+CE134</f>
        <v>0.61782209542850963</v>
      </c>
    </row>
    <row r="136" spans="1:139" ht="16.5" customHeight="1" x14ac:dyDescent="0.25">
      <c r="C136" s="120"/>
      <c r="D136" s="111" t="s">
        <v>370</v>
      </c>
      <c r="E136" s="104">
        <v>310</v>
      </c>
      <c r="F136" s="112"/>
      <c r="G136" s="113">
        <f ca="1">SUMIF($E$6:$G$129,"310",$G$6:$J$128)</f>
        <v>880490457</v>
      </c>
      <c r="H136" s="114">
        <f ca="1">SUMIF($E$6:$H$129,"310",$H$6:$J$128)</f>
        <v>2239707400.67272</v>
      </c>
      <c r="I136" s="114">
        <f ca="1">SUMIF($E$6:$I$129,"310",$I$6:$J$128)</f>
        <v>1359216943.67272</v>
      </c>
      <c r="J136" s="113">
        <f>SUMIF($E$6:$E$128,"310",$J$6:$J$128)</f>
        <v>0</v>
      </c>
      <c r="K136" s="113">
        <f>SUMIF($E$6:$E$128,"310",$K$6:$K$128)</f>
        <v>370000000</v>
      </c>
      <c r="L136" s="113">
        <f>SUMIF($E$6:$E$129,"310",$L$6:$L$129)</f>
        <v>0</v>
      </c>
      <c r="M136" s="113">
        <f>SUMIF($E$6:$E$129,"310",$M$6:$M$129)</f>
        <v>167990457</v>
      </c>
      <c r="N136" s="115">
        <f>SUMIF($E$6:$E$128,"310",$N$6:$N$128)</f>
        <v>0</v>
      </c>
      <c r="O136" s="112">
        <f>SUMIF($E$6:$E$128,"310",$O$6:$O$128)</f>
        <v>0</v>
      </c>
      <c r="P136" s="112">
        <f>SUMIF($E$6:$E$128,"310",$P$6:$P$128)</f>
        <v>0</v>
      </c>
      <c r="Q136" s="112">
        <f>SUMIF($E$6:$E$128,"310",$Q$6:$Q$128)</f>
        <v>0</v>
      </c>
      <c r="R136" s="112">
        <f>SUMIF($E$6:$E$128,"310",$R$6:$R$128)</f>
        <v>0</v>
      </c>
      <c r="S136" s="112">
        <f>SUMIF($E$6:$E$128,"310",$S$6:$S$128)</f>
        <v>0</v>
      </c>
      <c r="T136" s="112">
        <f>SUMIF($E$6:$E$128,"310",$T$6:$T$128)</f>
        <v>0</v>
      </c>
      <c r="U136" s="112">
        <f>SUMIF($E$6:$E$128,"310",$U$6:$U$128)</f>
        <v>250000000</v>
      </c>
      <c r="V136" s="112">
        <f>SUMIF($E$6:$E$128,"310",$V$6:$V$128)</f>
        <v>0</v>
      </c>
      <c r="W136" s="112">
        <f>SUMIF($E$6:$E$128,"310",$W$6:$W$128)</f>
        <v>0</v>
      </c>
      <c r="X136" s="112">
        <f>SUMIF($E$6:$E$128,"310",$X$6:$X$128)</f>
        <v>0</v>
      </c>
      <c r="Y136" s="112">
        <f>SUMIF($E$6:$E$128,"310",$Y$6:$Y$128)</f>
        <v>0</v>
      </c>
      <c r="Z136" s="112">
        <f>SUMIF($E$6:$E$128,"310",$Z$6:$Z$128)</f>
        <v>0</v>
      </c>
      <c r="AA136" s="112">
        <f>SUMIF($E$6:$E$128,"310",$AA$6:$AA$128)</f>
        <v>0</v>
      </c>
      <c r="AB136" s="112">
        <f>SUMIF($E$6:$E$128,"310",$AB$6:$AB$128)</f>
        <v>0</v>
      </c>
      <c r="AC136" s="112">
        <f>SUMIF($E$6:$E$105,"310",$AC$6:$AC$105)</f>
        <v>0</v>
      </c>
      <c r="AD136" s="112"/>
      <c r="AE136" s="112">
        <f>SUMIF($E$6:$E$128,"310",$AE$6:$AE$128)</f>
        <v>0</v>
      </c>
      <c r="AF136" s="112">
        <f>SUMIF($E$6:$E$128,"310",$AF$6:$AF$128)</f>
        <v>92500000</v>
      </c>
      <c r="AG136" s="27">
        <f t="shared" ca="1" si="110"/>
        <v>0.64610959661996659</v>
      </c>
      <c r="AH136" s="115">
        <f>SUMIF($E$6:$E$128,"310",$AH$6:$AH$128)</f>
        <v>568893334</v>
      </c>
      <c r="AI136" s="115">
        <f>SUMIF($E$6:$E$128,"310",$AI$6:$AI$128)</f>
        <v>0</v>
      </c>
      <c r="AJ136" s="115">
        <f>SUMIF($E$6:$E$128,"310",$AJ$6:$AJ$128)</f>
        <v>250933334</v>
      </c>
      <c r="AK136" s="115">
        <f>SUMIF($E$6:$E$128,"310",$AK$6:$AK$128)</f>
        <v>0</v>
      </c>
      <c r="AL136" s="115">
        <f>SUMIF($E$6:$E$128,"310",$AL$6:$AL$128)</f>
        <v>0</v>
      </c>
      <c r="AM136" s="115">
        <f>SUMIF($E$6:$E$128,"310",$AM$6:$AM$128)</f>
        <v>0</v>
      </c>
      <c r="AN136" s="115">
        <f>SUMIF($E$6:$E$128,"310",$AN$6:$AN$128)</f>
        <v>0</v>
      </c>
      <c r="AO136" s="115">
        <f>SUMIF($E$6:$E$128,"310",$AO$6:$AO$128)</f>
        <v>0</v>
      </c>
      <c r="AP136" s="115">
        <f>SUMIF($E$6:$E$128,"310",$AP$6:$AP$128)</f>
        <v>0</v>
      </c>
      <c r="AQ136" s="115">
        <f>SUMIF($E$6:$E$128,"310",$AQ$6:$AQ$128)</f>
        <v>0</v>
      </c>
      <c r="AR136" s="115">
        <f>SUMIF($E$6:$E$128,"310",$AR$6:$AR$128)</f>
        <v>0</v>
      </c>
      <c r="AS136" s="115">
        <f>SUMIF($E$6:$E$128,"310",$AS$6:$AS$128)</f>
        <v>0</v>
      </c>
      <c r="AT136" s="115">
        <f>SUMIF($E$6:$E$128,"310",$AT$6:$AT$128)</f>
        <v>250000000</v>
      </c>
      <c r="AU136" s="115">
        <f>SUMIF($E$6:$E$128,"310",$AU$6:$AU$128)</f>
        <v>0</v>
      </c>
      <c r="AV136" s="115">
        <f>SUMIF($E$6:$E$128,"310",$AV$6:$AV$128)</f>
        <v>0</v>
      </c>
      <c r="AW136" s="115">
        <f>SUMIF($E$6:$E$128,"310",$AW$6:$AW$128)</f>
        <v>0</v>
      </c>
      <c r="AX136" s="115">
        <f>SUMIF($E$6:$E$128,"310",$AX$6:$AX$128)</f>
        <v>0</v>
      </c>
      <c r="AY136" s="115">
        <f>SUMIF($E$6:$E$128,"310",$AY$6:$AY$128)</f>
        <v>0</v>
      </c>
      <c r="AZ136" s="115">
        <f>SUMIF($E$6:$E$128,"310",$AZ$6:$AZ$128)</f>
        <v>0</v>
      </c>
      <c r="BA136" s="115">
        <f>SUMIF($E$6:$E$128,"310",$BA$6:$BA$128)</f>
        <v>0</v>
      </c>
      <c r="BB136" s="115">
        <f>SUMIF($E$6:$E$128,"310",$BB$6:$BB$128)</f>
        <v>0</v>
      </c>
      <c r="BC136" s="115">
        <f>SUMIF($E$6:$E$128,"310",$BC$6:$BC$128)</f>
        <v>0</v>
      </c>
      <c r="BD136" s="115">
        <f>SUMIF($E$6:$E$128,"310",$BD$6:$BD$128)</f>
        <v>0</v>
      </c>
      <c r="BE136" s="115">
        <f>SUMIF($E$6:$E$128,"310",$BE$6:$BE$128)</f>
        <v>67960000</v>
      </c>
      <c r="BF136" s="97">
        <f t="shared" ca="1" si="111"/>
        <v>0.35389040338003341</v>
      </c>
      <c r="BG136" s="30">
        <f t="shared" si="112"/>
        <v>311597123</v>
      </c>
      <c r="BH136" s="116">
        <f>SUMIF($E$6:$E$128,"310",$BH$6:$BH$128)</f>
        <v>0</v>
      </c>
      <c r="BI136" s="116">
        <f>SUMIF($E$6:$E$128,"310",$BI$6:$BI$128)</f>
        <v>119066666</v>
      </c>
      <c r="BJ136" s="116">
        <f>SUMIF($E$6:$E$128,"310",$BJ$6:$BJ$128)</f>
        <v>0</v>
      </c>
      <c r="BK136" s="116">
        <f>SUMIF($E$6:$E$128,"310",$BK$6:$BK$128)</f>
        <v>167990457</v>
      </c>
      <c r="BL136" s="116">
        <f>SUMIF($E$6:$E$128,"310",$BL$6:$BL$128)</f>
        <v>0</v>
      </c>
      <c r="BM136" s="116">
        <f>SUMIF($E$6:$E$128,"310",$BM$6:$BM$128)</f>
        <v>0</v>
      </c>
      <c r="BN136" s="116">
        <f>SUMIF($E$6:$E$128,"310",$BN$6:$BN$128)</f>
        <v>0</v>
      </c>
      <c r="BO136" s="116">
        <f>SUMIF($E$6:$E$128,"310",$BO$6:$BO$128)</f>
        <v>0</v>
      </c>
      <c r="BP136" s="116">
        <f>SUMIF($E$6:$E$128,"310",$BP$6:$BP$128)</f>
        <v>0</v>
      </c>
      <c r="BQ136" s="116">
        <f>SUMIF($E$6:$E$128,"310",$BQ$6:$BQ$128)</f>
        <v>0</v>
      </c>
      <c r="BR136" s="116">
        <f>SUMIF($E$6:$E$128,"310",$BR$6:$BR$128)</f>
        <v>0</v>
      </c>
      <c r="BS136" s="116">
        <f>SUMIF($E$6:$E$128,"310",$BS$6:$BS$128)</f>
        <v>0</v>
      </c>
      <c r="BT136" s="116">
        <f>SUMIF($E$6:$E$128,"310",$BT$6:$BT$128)</f>
        <v>0</v>
      </c>
      <c r="BU136" s="116">
        <f>SUMIF($E$6:$E$128,"310",$BU$6:$BU$128)</f>
        <v>0</v>
      </c>
      <c r="BV136" s="116">
        <f>SUMIF($E$6:$E$128,"310",$BV$6:$BV$128)</f>
        <v>0</v>
      </c>
      <c r="BW136" s="116">
        <f>SUMIF($E$6:$E$128,"310",$BW$6:$BW$128)</f>
        <v>0</v>
      </c>
      <c r="BX136" s="116">
        <f>SUMIF($E$6:$E$128,"310",$BX$6:$BX$128)</f>
        <v>0</v>
      </c>
      <c r="BY136" s="116">
        <f>SUMIF($E$6:$E$128,"310",$BY$6:$BY$128)</f>
        <v>0</v>
      </c>
      <c r="BZ136" s="116">
        <f>SUMIF($E$6:$E$128,"310",$BZ$6:$BZ$128)</f>
        <v>0</v>
      </c>
      <c r="CA136" s="116">
        <f>SUMIF($E$6:$E$128,"310",$CA$6:$CA$128)</f>
        <v>0</v>
      </c>
      <c r="CB136" s="116">
        <f>SUMIF($E$6:$E$128,"310",$CB$6:$CB$128)</f>
        <v>0</v>
      </c>
      <c r="CC136" s="116">
        <f>SUMIF($E$6:$E$128,"310",$CC$6:$CC$128)</f>
        <v>0</v>
      </c>
      <c r="CD136" s="117">
        <f>SUMIF($E$6:$E$128,"310",$CD$6:$CD$128)</f>
        <v>24540000</v>
      </c>
      <c r="CE136" s="27">
        <f t="shared" ca="1" si="113"/>
        <v>0.39338221924647165</v>
      </c>
      <c r="CF136" s="47">
        <f t="shared" si="114"/>
        <v>346369290</v>
      </c>
      <c r="CG136" s="115">
        <f>SUMIF($E$6:$E$128,"310",$CG$6:$CG$128)</f>
        <v>0</v>
      </c>
      <c r="CH136" s="115">
        <f>SUMIF($E$6:$E$128,"310",$CH$6:$CH$128)</f>
        <v>144329120</v>
      </c>
      <c r="CI136" s="115">
        <f>SUMIF($E$6:$E$128,"310",$CI$6:$CI$128)</f>
        <v>0</v>
      </c>
      <c r="CJ136" s="115">
        <f>SUMIF($E$6:$E$128,"310",$CJ$6:$CJ$128)</f>
        <v>0</v>
      </c>
      <c r="CK136" s="115">
        <f>SUMIF($E$6:$E$128,"310",$CK$6:$CK$128)</f>
        <v>0</v>
      </c>
      <c r="CL136" s="115">
        <f>SUMIF($E$6:$E$128,"310",$CL$6:$CL$128)</f>
        <v>0</v>
      </c>
      <c r="CM136" s="115">
        <f>SUMIF($E$6:$E$128,"310",$CM$6:$CM$128)</f>
        <v>0</v>
      </c>
      <c r="CN136" s="115">
        <f>SUMIF($E$6:$E$128,"310",$CN$6:$CN$128)</f>
        <v>0</v>
      </c>
      <c r="CO136" s="115">
        <f>SUMIF($E$6:$E$128,"310",$CO$6:$CO$128)</f>
        <v>0</v>
      </c>
      <c r="CP136" s="115">
        <f>SUMIF($E$6:$E$128,"310",$CP$6:$CP$128)</f>
        <v>0</v>
      </c>
      <c r="CQ136" s="115">
        <f>SUMIF($E$6:$E$128,"310",$CQ$6:$CQ$128)</f>
        <v>0</v>
      </c>
      <c r="CR136" s="115">
        <f>SUMIF($E$6:$E$128,"310",$CR$6:$CR$128)</f>
        <v>172855237</v>
      </c>
      <c r="CS136" s="115">
        <f>SUMIF($E$6:$E$128,"310",$CS$6:$CS$128)</f>
        <v>0</v>
      </c>
      <c r="CT136" s="115">
        <f>SUMIF($E$6:$E$128,"310",$CT$6:$CT$128)</f>
        <v>0</v>
      </c>
      <c r="CU136" s="115">
        <f>SUMIF($E$6:$E$128,"310",$CU$6:$CU$128)</f>
        <v>0</v>
      </c>
      <c r="CV136" s="115">
        <f>SUMIF($E$6:$E$128,"310",$CV$6:$CV$128)</f>
        <v>0</v>
      </c>
      <c r="CW136" s="115">
        <f>SUMIF($E$6:$E$128,"310",$CW$6:$CW$128)</f>
        <v>0</v>
      </c>
      <c r="CX136" s="115">
        <f>SUMIF($E$6:$E$128,"310",$CX$6:$CX$128)</f>
        <v>0</v>
      </c>
      <c r="CY136" s="115">
        <f>SUMIF($E$6:$E$128,"310",$CY$6:$CY$128)</f>
        <v>0</v>
      </c>
      <c r="CZ136" s="115">
        <f>SUMIF($E$6:$E$128,"310",$CZ$6:$CZ$128)</f>
        <v>0</v>
      </c>
      <c r="DA136" s="115">
        <f>SUMIF($E$6:$E$128,"310",$DA$6:$DA$128)</f>
        <v>0</v>
      </c>
      <c r="DB136" s="115">
        <f>SUMIF($E$6:$E$128,"310",$DB$6:$DB$128)</f>
        <v>0</v>
      </c>
      <c r="DC136" s="118">
        <f>SUMIF($E$6:$E$128,"310",$DC$6:$DC$128)</f>
        <v>29184933</v>
      </c>
      <c r="DD136" s="27">
        <f t="shared" ca="1" si="115"/>
        <v>0.60661778075352835</v>
      </c>
      <c r="DE136" s="30">
        <f t="shared" si="116"/>
        <v>534121167</v>
      </c>
      <c r="DF136" s="116">
        <f>SUMIF($E$6:$E$128,"310",$DF$6:$DF$128)</f>
        <v>0</v>
      </c>
      <c r="DG136" s="116">
        <f>SUMIF($E$6:$E$128,"310",$DG$6:$DG$128)</f>
        <v>225670880</v>
      </c>
      <c r="DH136" s="116">
        <f>SUMIF($E$6:$E$128,"310",$DH$6:$DH$128)</f>
        <v>0</v>
      </c>
      <c r="DI136" s="116">
        <f>SUMIF($E$6:$E$128,"310",$DI$6:$DI$128)</f>
        <v>167990457</v>
      </c>
      <c r="DJ136" s="116">
        <f>SUMIF($E$6:$E$128,"310",$DJ$6:$DJ$128)</f>
        <v>0</v>
      </c>
      <c r="DK136" s="116">
        <f>SUMIF($E$6:$E$128,"310",$DK$6:$DK$128)</f>
        <v>0</v>
      </c>
      <c r="DL136" s="116">
        <f>SUMIF($E$6:$E$128,"310",$DL$6:$DL$128)</f>
        <v>0</v>
      </c>
      <c r="DM136" s="116">
        <f>SUMIF($E$6:$E$128,"310",$DM$6:$DM$128)</f>
        <v>0</v>
      </c>
      <c r="DN136" s="116">
        <f>SUMIF($E$6:$E$128,"310",$DN$6:$DN$128)</f>
        <v>0</v>
      </c>
      <c r="DO136" s="116">
        <f>SUMIF($E$6:$E$128,"310",$DO$6:$DO$128)</f>
        <v>0</v>
      </c>
      <c r="DP136" s="119">
        <f>SUMIF($E$6:$E$128,"310",$DP$6:$DP$128)</f>
        <v>0</v>
      </c>
      <c r="DQ136" s="119">
        <f>SUMIF($E$6:$E$128,"310",$DQ$6:$DQ$128)</f>
        <v>77144763</v>
      </c>
      <c r="DR136" s="119">
        <f>SUMIF($E$6:$E$128,"310",$DR$6:$DR$128)</f>
        <v>0</v>
      </c>
      <c r="DS136" s="119">
        <f>SUMIF($E$6:$E$128,"310",$DS$6:$DS$128)</f>
        <v>0</v>
      </c>
      <c r="DT136" s="119">
        <f>SUMIF($E$6:$E$128,"310",$DT$6:$DT$128)</f>
        <v>0</v>
      </c>
      <c r="DU136" s="119">
        <f>SUMIF($E$6:$E$128,"310",$DU$6:$DU$128)</f>
        <v>0</v>
      </c>
      <c r="DV136" s="119">
        <f>SUMIF($E$6:$E$128,"310",$DV$6:$DV$128)</f>
        <v>0</v>
      </c>
      <c r="DW136" s="119">
        <f>SUMIF($E$6:$E$128,"310",$DW$6:$DW$128)</f>
        <v>0</v>
      </c>
      <c r="DX136" s="119">
        <f>SUMIF($E$6:$E$128,"310",$DX$6:$DX$128)</f>
        <v>0</v>
      </c>
      <c r="DY136" s="119">
        <f>SUMIF($E$6:$E$128,"310",$DY$6:$DY$128)</f>
        <v>0</v>
      </c>
      <c r="DZ136" s="119">
        <f>SUMIF($E$6:$E$128,"310",$DZ$6:$DZ$128)</f>
        <v>0</v>
      </c>
      <c r="EA136" s="119">
        <f>SUMIF($E$6:$E$128,"310",$EA$6:$EA$128)</f>
        <v>0</v>
      </c>
      <c r="EB136" s="119">
        <f>SUMIF($E$6:$E$128,"310",$EB$6:$EB$128)</f>
        <v>63315067</v>
      </c>
      <c r="ED136" s="151" t="s">
        <v>236</v>
      </c>
      <c r="EE136" s="52">
        <v>3893748088</v>
      </c>
      <c r="EF136" s="52">
        <v>1630507063</v>
      </c>
      <c r="EG136" s="160">
        <f t="shared" ca="1" si="117"/>
        <v>0.41875001313644306</v>
      </c>
    </row>
    <row r="137" spans="1:139" ht="15.75" x14ac:dyDescent="0.25">
      <c r="C137" s="122"/>
      <c r="D137" s="111" t="s">
        <v>371</v>
      </c>
      <c r="E137" s="104">
        <v>410</v>
      </c>
      <c r="F137" s="112"/>
      <c r="G137" s="113">
        <f ca="1">SUMIF($E$6:$G$129,"410",$G$6:$J$128)</f>
        <v>7636534557</v>
      </c>
      <c r="H137" s="114">
        <f ca="1">SUMIF($E$6:$H$129,"410",$H$6:$J$128)</f>
        <v>8545602000</v>
      </c>
      <c r="I137" s="114">
        <f ca="1">SUMIF($E$6:$I$129,"410",$I$6:$J$128)</f>
        <v>909067443</v>
      </c>
      <c r="J137" s="113">
        <f>SUMIF($E$6:$E$128,"410",$J$6:$J$128)</f>
        <v>0</v>
      </c>
      <c r="K137" s="113">
        <f>SUMIF($E$6:$E$129,"410",$K$6:$K$129)</f>
        <v>200000000</v>
      </c>
      <c r="L137" s="113">
        <f>SUMIF($E$6:$E$129,"410",$L$6:$L$129)</f>
        <v>0</v>
      </c>
      <c r="M137" s="113">
        <f>SUMIF($E$6:$E$129,"410",$M$6:$M$129)</f>
        <v>0</v>
      </c>
      <c r="N137" s="115">
        <f>SUMIF($E$6:$E$128,"410",$N$6:$N$128)</f>
        <v>0</v>
      </c>
      <c r="O137" s="112">
        <f>SUMIF($E$6:$E$128,"410",$O$6:$O$128)</f>
        <v>0</v>
      </c>
      <c r="P137" s="112">
        <f>SUMIF($E$6:$E$128,"410",$P$6:$P$128)</f>
        <v>0</v>
      </c>
      <c r="Q137" s="112">
        <f>SUMIF($E$6:$E$128,"410",$Q$6:$Q$128)</f>
        <v>1976753328</v>
      </c>
      <c r="R137" s="112">
        <f>SUMIF($E$6:$E$128,"410",$R$6:$R$128)</f>
        <v>90000000</v>
      </c>
      <c r="S137" s="112">
        <f>SUMIF($E$6:$E$128,"410",$S$6:$S$128)</f>
        <v>116000000</v>
      </c>
      <c r="T137" s="112">
        <f>SUMIF($E$6:$E$128,"410",$T$6:$T$128)</f>
        <v>120134741</v>
      </c>
      <c r="U137" s="112">
        <f>SUMIF($E$6:$E$128,"410",$U$6:$U$128)</f>
        <v>0</v>
      </c>
      <c r="V137" s="112">
        <f>SUMIF($E$6:$E$128,"410",$V$6:$V$128)</f>
        <v>0</v>
      </c>
      <c r="W137" s="112">
        <f>SUMIF($E$6:$E$128,"410",$W$6:$W$128)</f>
        <v>0</v>
      </c>
      <c r="X137" s="112">
        <f>SUMIF($E$6:$E$128,"410",$X$6:$X$128)</f>
        <v>0</v>
      </c>
      <c r="Y137" s="112">
        <f>SUMIF($E$6:$E$128,"410",$Y$6:$Y$128)</f>
        <v>3650000000</v>
      </c>
      <c r="Z137" s="112">
        <f>SUMIF($E$6:$E$128,"410",$Z$6:$Z$128)</f>
        <v>0</v>
      </c>
      <c r="AA137" s="112">
        <f>SUMIF($E$6:$E$128,"410",$AA$6:$AA$128)</f>
        <v>0</v>
      </c>
      <c r="AB137" s="112">
        <f>SUMIF($E$6:$E$105,"410",$AB$6:$AB$105)</f>
        <v>758667215</v>
      </c>
      <c r="AC137" s="112">
        <f>SUMIF($E$6:$E$105,"410",$AC$6:$AC$105)</f>
        <v>0</v>
      </c>
      <c r="AD137" s="112">
        <f>SUMIF($E$6:$E$128,"410",$AD$6:$AD$128)</f>
        <v>320081566</v>
      </c>
      <c r="AE137" s="112">
        <f>SUMIF($E$6:$E$128,"410",$AE$6:$AE$128)</f>
        <v>0</v>
      </c>
      <c r="AF137" s="112">
        <f>SUMIF($E$6:$E$128,"410",$AF$6:$AF$128)</f>
        <v>404897707</v>
      </c>
      <c r="AG137" s="27">
        <f t="shared" ca="1" si="110"/>
        <v>0.88538503722245387</v>
      </c>
      <c r="AH137" s="115">
        <f>SUMIF($E$6:$E$128,"410",$AH$6:$AH$128)</f>
        <v>6761273433</v>
      </c>
      <c r="AI137" s="115">
        <f>SUMIF($E$6:$E$128,"410",$AI$6:$AI$128)</f>
        <v>0</v>
      </c>
      <c r="AJ137" s="115">
        <f>SUMIF($E$6:$E$128,"410",$AJ$6:$AJ$128)</f>
        <v>200000000</v>
      </c>
      <c r="AK137" s="115">
        <f>SUMIF($E$6:$E$128,"410",$AK$6:$AK$128)</f>
        <v>0</v>
      </c>
      <c r="AL137" s="115">
        <f>SUMIF($E$6:$E$128,"410",$AL$6:$AL$128)</f>
        <v>0</v>
      </c>
      <c r="AM137" s="115">
        <f>SUMIF($E$6:$E$128,"410",$AM$6:$AM$128)</f>
        <v>0</v>
      </c>
      <c r="AN137" s="115">
        <f>SUMIF($E$6:$E$128,"410",$AN$6:$AN$128)</f>
        <v>0</v>
      </c>
      <c r="AO137" s="115">
        <f>SUMIF($E$6:$E$128,"410",$AO$6:$AO$128)</f>
        <v>0</v>
      </c>
      <c r="AP137" s="115">
        <f>SUMIF($E$6:$E$128,"410",$AP$6:$AP$128)</f>
        <v>1807596656</v>
      </c>
      <c r="AQ137" s="115">
        <f>SUMIF($E$6:$E$128,"410",$AQ$6:$AQ$128)</f>
        <v>60000000</v>
      </c>
      <c r="AR137" s="115">
        <f>SUMIF($E$6:$E$128,"410",$AR$6:$AR$128)</f>
        <v>80000000</v>
      </c>
      <c r="AS137" s="115">
        <f>SUMIF($E$6:$E$128,"410",$AS$6:$AS$128)</f>
        <v>105134741</v>
      </c>
      <c r="AT137" s="115">
        <f>SUMIF($E$6:$E$128,"410",$AT$6:$AT$128)</f>
        <v>0</v>
      </c>
      <c r="AU137" s="115">
        <f>SUMIF($E$6:$E$128,"410",$AU$6:$AU$128)</f>
        <v>0</v>
      </c>
      <c r="AV137" s="115">
        <f>SUMIF($E$6:$E$128,"410",$AV$6:$AV$128)</f>
        <v>0</v>
      </c>
      <c r="AW137" s="115">
        <f>SUMIF($E$6:$E$128,"410",$AW$6:$AW$128)</f>
        <v>0</v>
      </c>
      <c r="AX137" s="115">
        <f>SUMIF($E$6:$E$128,"410",$AX$6:$AX$128)</f>
        <v>3316172938</v>
      </c>
      <c r="AY137" s="115">
        <f>SUMIF($E$6:$E$128,"410",$AY$6:$AY$128)</f>
        <v>0</v>
      </c>
      <c r="AZ137" s="115">
        <f>SUMIF($E$6:$E$128,"410",$AZ$6:$AZ$128)</f>
        <v>0</v>
      </c>
      <c r="BA137" s="115">
        <f>SUMIF($E$6:$E$128,"410",$BA$6:$BA$128)</f>
        <v>641764646</v>
      </c>
      <c r="BB137" s="115">
        <f>SUMIF($E$6:$E$128,"410",$BB$6:$BB$128)</f>
        <v>0</v>
      </c>
      <c r="BC137" s="115">
        <f>SUMIF($E$6:$E$128,"410",$BC$6:$BC$128)</f>
        <v>290803643</v>
      </c>
      <c r="BD137" s="115">
        <f>SUMIF($E$6:$E$128,"410",$BD$6:$BD$128)</f>
        <v>0</v>
      </c>
      <c r="BE137" s="115">
        <f>SUMIF($E$6:$E$128,"410",$BE$6:$BE$128)</f>
        <v>259800809</v>
      </c>
      <c r="BF137" s="97">
        <f t="shared" ca="1" si="111"/>
        <v>0.11461496277754613</v>
      </c>
      <c r="BG137" s="30">
        <f t="shared" si="112"/>
        <v>875261124</v>
      </c>
      <c r="BH137" s="116">
        <f>SUMIF($E$6:$E$128,"410",$BH$6:$BH$128)</f>
        <v>0</v>
      </c>
      <c r="BI137" s="116">
        <f>SUMIF($E$6:$E$128,"410",$BI$6:$BI$128)</f>
        <v>0</v>
      </c>
      <c r="BJ137" s="116">
        <f>SUMIF($E$6:$E$128,"410",$BJ$6:$BJ$128)</f>
        <v>0</v>
      </c>
      <c r="BK137" s="116">
        <f>SUMIF($E$6:$E$128,"410",$BK$6:$BK$128)</f>
        <v>0</v>
      </c>
      <c r="BL137" s="116">
        <f>SUMIF($E$6:$E$128,"410",$BL$6:$BL$128)</f>
        <v>0</v>
      </c>
      <c r="BM137" s="116">
        <f>SUMIF($E$6:$E$128,"410",$BM$6:$BM$128)</f>
        <v>0</v>
      </c>
      <c r="BN137" s="116">
        <f>SUMIF($E$6:$E$128,"410",$BN$6:$BN$128)</f>
        <v>0</v>
      </c>
      <c r="BO137" s="116">
        <f>SUMIF($E$6:$E$128,"410",$BO$6:$BO$128)</f>
        <v>169156672</v>
      </c>
      <c r="BP137" s="116">
        <f>SUMIF($E$6:$E$128,"410",$BP$6:$BP$128)</f>
        <v>30000000</v>
      </c>
      <c r="BQ137" s="116">
        <f>SUMIF($E$6:$E$128,"410",$BQ$6:$BQ$128)</f>
        <v>36000000</v>
      </c>
      <c r="BR137" s="116">
        <f>SUMIF($E$6:$E$128,"410",$BR$6:$BR$128)</f>
        <v>15000000</v>
      </c>
      <c r="BS137" s="116">
        <f>SUMIF($E$6:$E$128,"410",$BS$6:$BS$128)</f>
        <v>0</v>
      </c>
      <c r="BT137" s="116">
        <f>SUMIF($E$6:$E$128,"410",$BT$6:$BT$128)</f>
        <v>0</v>
      </c>
      <c r="BU137" s="116">
        <f>SUMIF($E$6:$E$128,"410",$BU$6:$BU$128)</f>
        <v>0</v>
      </c>
      <c r="BV137" s="116">
        <f>SUMIF($E$6:$E$128,"410",$BV$6:$BV$128)</f>
        <v>0</v>
      </c>
      <c r="BW137" s="116">
        <f>SUMIF($E$6:$E$128,"410",$BW$6:$BW$128)</f>
        <v>333827062</v>
      </c>
      <c r="BX137" s="116">
        <f>SUMIF($E$6:$E$128,"410",$BX$6:$BX$128)</f>
        <v>0</v>
      </c>
      <c r="BY137" s="116">
        <f>SUMIF($E$6:$E$128,"410",$BY$6:$BY$128)</f>
        <v>0</v>
      </c>
      <c r="BZ137" s="116">
        <f>SUMIF($E$6:$E$128,"410",$BZ$6:$BZ$128)</f>
        <v>116902569</v>
      </c>
      <c r="CA137" s="116">
        <f>SUMIF($E$6:$E$128,"410",$CA$6:$CA$128)</f>
        <v>0</v>
      </c>
      <c r="CB137" s="116">
        <f>SUMIF($E$6:$E$128,"410",$CB$6:$CB$128)</f>
        <v>29277923</v>
      </c>
      <c r="CC137" s="116">
        <f>SUMIF($E$6:$E$128,"410",$CC$6:$CC$128)</f>
        <v>0</v>
      </c>
      <c r="CD137" s="117">
        <f>SUMIF($E$6:$E$128,"410",$CD$6:$CD$128)</f>
        <v>145096898</v>
      </c>
      <c r="CE137" s="27">
        <f t="shared" ca="1" si="113"/>
        <v>0.55515217843333597</v>
      </c>
      <c r="CF137" s="30">
        <f t="shared" si="114"/>
        <v>4239438795</v>
      </c>
      <c r="CG137" s="115">
        <f>SUMIF($E$6:$E$128,"410",$CG$6:$CG$128)</f>
        <v>0</v>
      </c>
      <c r="CH137" s="115">
        <f>SUMIF($E$6:$E$128,"410",$CH$6:$CH$128)</f>
        <v>195463801</v>
      </c>
      <c r="CI137" s="115">
        <f>SUMIF($E$6:$E$128,"410",$CI$6:$CI$128)</f>
        <v>0</v>
      </c>
      <c r="CJ137" s="115">
        <f>SUMIF($E$6:$E$128,"410",$CJ$6:$CJ$128)</f>
        <v>0</v>
      </c>
      <c r="CK137" s="115">
        <f>SUMIF($E$6:$E$128,"410",$CK$6:$CK$128)</f>
        <v>0</v>
      </c>
      <c r="CL137" s="115">
        <f>SUMIF($E$6:$E$128,"410",$CL$6:$CL$128)</f>
        <v>0</v>
      </c>
      <c r="CM137" s="115">
        <f>SUMIF($E$6:$E$128,"410",$CM$6:$CM$128)</f>
        <v>0</v>
      </c>
      <c r="CN137" s="115">
        <f>SUMIF($E$6:$E$128,"410",$CN$6:$CN$128)</f>
        <v>773259571</v>
      </c>
      <c r="CO137" s="115">
        <f>SUMIF($E$6:$E$128,"410",$CO$6:$CO$128)</f>
        <v>10324460</v>
      </c>
      <c r="CP137" s="115">
        <f>SUMIF($E$6:$E$128,"410",$CP$6:$CP$128)</f>
        <v>11708860</v>
      </c>
      <c r="CQ137" s="115">
        <f>SUMIF($E$6:$E$128,"410",$CQ$6:$CQ$128)</f>
        <v>15300150</v>
      </c>
      <c r="CR137" s="115">
        <f>SUMIF($E$6:$E$128,"410",$CR$6:$CR$128)</f>
        <v>0</v>
      </c>
      <c r="CS137" s="115">
        <f>SUMIF($E$6:$E$128,"410",$CS$6:$CS$128)</f>
        <v>0</v>
      </c>
      <c r="CT137" s="115">
        <f>SUMIF($E$6:$E$128,"410",$CT$6:$CT$128)</f>
        <v>0</v>
      </c>
      <c r="CU137" s="115">
        <f>SUMIF($E$6:$E$128,"410",$CU$6:$CU$128)</f>
        <v>0</v>
      </c>
      <c r="CV137" s="115">
        <f>SUMIF($E$6:$E$128,"410",$CV$6:$CV$128)</f>
        <v>2537150673</v>
      </c>
      <c r="CW137" s="115">
        <f>SUMIF($E$6:$E$128,"410",$CW$6:$CW$128)</f>
        <v>0</v>
      </c>
      <c r="CX137" s="115">
        <f>SUMIF($E$6:$E$128,"410",$CX$6:$CX$128)</f>
        <v>0</v>
      </c>
      <c r="CY137" s="115">
        <f>SUMIF($E$6:$E$128,"410",$CY$6:$CY$128)</f>
        <v>415281549</v>
      </c>
      <c r="CZ137" s="115">
        <f>SUMIF($E$6:$E$128,"410",$CZ$6:$CZ$128)</f>
        <v>0</v>
      </c>
      <c r="DA137" s="115">
        <f>SUMIF($E$6:$E$128,"410",$DA$6:$DA$128)</f>
        <v>162631546</v>
      </c>
      <c r="DB137" s="115">
        <f>SUMIF($E$6:$E$128,"410",$DB$6:$DB$128)</f>
        <v>0</v>
      </c>
      <c r="DC137" s="118">
        <f>SUMIF($E$6:$E$128,"410",$DC$6:$DC$128)</f>
        <v>118318185</v>
      </c>
      <c r="DD137" s="27">
        <f t="shared" ca="1" si="115"/>
        <v>0.44484782156666403</v>
      </c>
      <c r="DE137" s="30">
        <f t="shared" si="116"/>
        <v>3397095762</v>
      </c>
      <c r="DF137" s="116">
        <f>SUMIF($E$6:$E$128,"410",$DF$6:$DF$128)</f>
        <v>0</v>
      </c>
      <c r="DG137" s="116">
        <f>SUMIF($E$6:$E$128,"410",$DG$6:$DG$128)</f>
        <v>4536199</v>
      </c>
      <c r="DH137" s="116">
        <f>SUMIF($E$6:$E$128,"410",$DH$6:$DH$128)</f>
        <v>0</v>
      </c>
      <c r="DI137" s="116">
        <f>SUMIF($E$6:$E$128,"410",$DI$6:$DI$128)</f>
        <v>0</v>
      </c>
      <c r="DJ137" s="116">
        <f>SUMIF($E$6:$E$128,"410",$DJ$6:$DJ$128)</f>
        <v>0</v>
      </c>
      <c r="DK137" s="116">
        <f>SUMIF($E$6:$E$128,"410",$DK$6:$DK$128)</f>
        <v>0</v>
      </c>
      <c r="DL137" s="116">
        <f>SUMIF($E$6:$E$128,"410",$DL$6:$DL$128)</f>
        <v>0</v>
      </c>
      <c r="DM137" s="116">
        <f>SUMIF($E$6:$E$128,"410",$DM$6:$DM$128)</f>
        <v>1203493757</v>
      </c>
      <c r="DN137" s="116">
        <f>SUMIF($E$6:$E$128,"410",$DN$6:$DN$128)</f>
        <v>79675540</v>
      </c>
      <c r="DO137" s="116">
        <f>SUMIF($E$6:$E$128,"410",$DO$6:$DO$128)</f>
        <v>104291140</v>
      </c>
      <c r="DP137" s="119">
        <f>SUMIF($E$6:$E$128,"410",$DP$6:$DP$128)</f>
        <v>104834591</v>
      </c>
      <c r="DQ137" s="119">
        <f>SUMIF($E$6:$E$128,"410",$DQ$6:$DQ$128)</f>
        <v>0</v>
      </c>
      <c r="DR137" s="119">
        <f>SUMIF($E$6:$E$128,"410",$DR$6:$DR$128)</f>
        <v>0</v>
      </c>
      <c r="DS137" s="119">
        <f>SUMIF($E$6:$E$128,"410",$DS$6:$DS$128)</f>
        <v>0</v>
      </c>
      <c r="DT137" s="119">
        <f>SUMIF($E$6:$E$128,"410",$DT$6:$DT$128)</f>
        <v>0</v>
      </c>
      <c r="DU137" s="119">
        <f>SUMIF($E$6:$E$128,"410",$DU$6:$DU$128)</f>
        <v>1112849327</v>
      </c>
      <c r="DV137" s="119">
        <f>SUMIF($E$6:$E$128,"410",$DV$6:$DV$128)</f>
        <v>0</v>
      </c>
      <c r="DW137" s="119">
        <f>SUMIF($E$6:$E$128,"410",$DW$6:$DW$128)</f>
        <v>0</v>
      </c>
      <c r="DX137" s="119">
        <f>SUMIF($E$6:$E$128,"410",$DX$6:$DX$128)</f>
        <v>343385666</v>
      </c>
      <c r="DY137" s="119">
        <f>SUMIF($E$6:$E$128,"410",$DY$6:$DY$128)</f>
        <v>0</v>
      </c>
      <c r="DZ137" s="119">
        <f>SUMIF($E$6:$E$128,"410",$DZ$6:$DZ$128)</f>
        <v>157450020</v>
      </c>
      <c r="EA137" s="119">
        <f>SUMIF($E$6:$E$128,"410",$EA$6:$EA$128)</f>
        <v>0</v>
      </c>
      <c r="EB137" s="119">
        <f>SUMIF($E$6:$E$128,"410",$EB$6:$EB$128)</f>
        <v>286579522</v>
      </c>
      <c r="ED137" s="151" t="s">
        <v>388</v>
      </c>
      <c r="EE137" s="52">
        <v>880490457</v>
      </c>
      <c r="EF137" s="52">
        <v>346369290</v>
      </c>
      <c r="EG137" s="160">
        <f t="shared" ca="1" si="117"/>
        <v>0.39338221924647165</v>
      </c>
    </row>
    <row r="138" spans="1:139" ht="14.25" customHeight="1" x14ac:dyDescent="0.25">
      <c r="C138" s="122"/>
      <c r="D138" s="123" t="s">
        <v>372</v>
      </c>
      <c r="E138" s="104">
        <v>510</v>
      </c>
      <c r="F138" s="112"/>
      <c r="G138" s="113">
        <f ca="1">SUMIF($E$6:$G$129,"510",$G$6:$J$128)</f>
        <v>2293381302</v>
      </c>
      <c r="H138" s="114">
        <f ca="1">SUMIF($E$6:$H$129,"510",$H$6:$J$128)</f>
        <v>2787400000</v>
      </c>
      <c r="I138" s="114">
        <f ca="1">SUMIF($E$6:$I$129,"510",$I$6:$J$128)</f>
        <v>494018698</v>
      </c>
      <c r="J138" s="113">
        <f>SUMIF($E$6:$E$128,"510",$J$6:$J$128)</f>
        <v>0</v>
      </c>
      <c r="K138" s="113">
        <f>SUMIF($E$6:$E$129,"510",$K$6:$K$129)</f>
        <v>767521592</v>
      </c>
      <c r="L138" s="113">
        <f>SUMIF($E$6:$E$129,"510",$L$6:$L$129)</f>
        <v>0</v>
      </c>
      <c r="M138" s="113">
        <f>SUMIF($E$6:$E$129,"510",$M$6:$M$129)</f>
        <v>114000000</v>
      </c>
      <c r="N138" s="115">
        <f>SUMIF($E$6:$E$128,"510",$N$6:$N$128)</f>
        <v>0</v>
      </c>
      <c r="O138" s="112">
        <f>SUMIF($E$6:$E$128,"510",$O$6:$O$128)</f>
        <v>80000000</v>
      </c>
      <c r="P138" s="112">
        <f>SUMIF($E$6:$E$128,"510",$P$6:$P$128)</f>
        <v>0</v>
      </c>
      <c r="Q138" s="112">
        <f>SUMIF($E$6:$E$128,"510",$Q$6:$Q$128)</f>
        <v>0</v>
      </c>
      <c r="R138" s="112">
        <f>SUMIF($E$6:$E$128,"510",$R$6:$R$128)</f>
        <v>0</v>
      </c>
      <c r="S138" s="112">
        <f>SUMIF($E$6:$E$128,"510",$S$6:$S$128)</f>
        <v>0</v>
      </c>
      <c r="T138" s="112">
        <f>SUMIF($E$6:$E$128,"510",$T$6:$T$128)</f>
        <v>0</v>
      </c>
      <c r="U138" s="112">
        <f>SUMIF($E$6:$E$128,"510",$U$6:$U$128)</f>
        <v>232855217</v>
      </c>
      <c r="V138" s="112">
        <f>SUMIF($E$6:$E$128,"510",$V$6:$V$128)</f>
        <v>0</v>
      </c>
      <c r="W138" s="112">
        <f>SUMIF($E$6:$E$128,"510",$W$6:$W$128)</f>
        <v>0</v>
      </c>
      <c r="X138" s="112">
        <f>SUMIF($E$6:$E$128,"510",$X$6:$X$128)</f>
        <v>0</v>
      </c>
      <c r="Y138" s="112">
        <f>SUMIF($E$6:$E$128,"510",$Y$6:$Y$128)</f>
        <v>0</v>
      </c>
      <c r="Z138" s="112">
        <f>SUMIF($E$6:$E$128,"510",$Z$6:$Z$128)</f>
        <v>0</v>
      </c>
      <c r="AA138" s="112">
        <f>SUMIF($E$6:$E$128,"510",$AA$6:$AA$128)</f>
        <v>357629510</v>
      </c>
      <c r="AB138" s="112">
        <f>SUMIF($E$6:$E$128,"510",$AB$6:$AB$128)</f>
        <v>0</v>
      </c>
      <c r="AC138" s="112">
        <f>SUMIF($E$6:$E$128,"510",$AC$6:$AC$128)</f>
        <v>0</v>
      </c>
      <c r="AD138" s="112"/>
      <c r="AE138" s="112">
        <f>SUMIF($E$6:$E$128,"510",$AE$6:$AE$128)</f>
        <v>500133503</v>
      </c>
      <c r="AF138" s="112">
        <f>SUMIF($E$6:$E$128,"510",$AF$6:$AF$128)</f>
        <v>241241480</v>
      </c>
      <c r="AG138" s="27">
        <f t="shared" ca="1" si="110"/>
        <v>0.86965057588142836</v>
      </c>
      <c r="AH138" s="115">
        <f>SUMIF($E$6:$E$128,"510",$AH$6:$AH$128)</f>
        <v>1994440370</v>
      </c>
      <c r="AI138" s="115">
        <f>SUMIF($E$6:$E$128,"510",$AI$6:$AI$128)</f>
        <v>0</v>
      </c>
      <c r="AJ138" s="115">
        <f>SUMIF($E$6:$E$128,"510",$AJ$6:$AJ$128)</f>
        <v>625756618</v>
      </c>
      <c r="AK138" s="115">
        <f>SUMIF($E$6:$E$128,"510",$AK$6:$AK$128)</f>
        <v>0</v>
      </c>
      <c r="AL138" s="115">
        <f>SUMIF($E$6:$E$128,"510",$AL$6:$AL$128)</f>
        <v>114000000</v>
      </c>
      <c r="AM138" s="115">
        <f>SUMIF($E$6:$E$128,"510",$AM$6:$AM$128)</f>
        <v>0</v>
      </c>
      <c r="AN138" s="115">
        <f>SUMIF($E$6:$E$128,"510",$AN$6:$AN$128)</f>
        <v>80000000</v>
      </c>
      <c r="AO138" s="115">
        <f>SUMIF($E$6:$E$128,"510",$AO$6:$AO$128)</f>
        <v>0</v>
      </c>
      <c r="AP138" s="115">
        <f>SUMIF($E$6:$E$128,"510",$AP$6:$AP$128)</f>
        <v>0</v>
      </c>
      <c r="AQ138" s="115">
        <f>SUMIF($E$6:$E$128,"510",$AQ$6:$AQ$128)</f>
        <v>0</v>
      </c>
      <c r="AR138" s="115">
        <f>SUMIF($E$6:$E$128,"510",$AR$6:$AR$128)</f>
        <v>0</v>
      </c>
      <c r="AS138" s="115">
        <f>SUMIF($E$6:$E$128,"510",$AS$6:$AS$128)</f>
        <v>0</v>
      </c>
      <c r="AT138" s="115">
        <f>SUMIF($E$6:$E$128,"510",$AT$6:$AT$128)</f>
        <v>227551251</v>
      </c>
      <c r="AU138" s="115">
        <f>SUMIF($E$6:$E$128,"510",$AU$6:$AU$128)</f>
        <v>0</v>
      </c>
      <c r="AV138" s="115">
        <f>SUMIF($E$6:$E$128,"510",$AV$6:$AV$128)</f>
        <v>0</v>
      </c>
      <c r="AW138" s="115">
        <f>SUMIF($E$6:$E$128,"510",$AW$6:$AW$128)</f>
        <v>0</v>
      </c>
      <c r="AX138" s="115">
        <f>SUMIF($E$6:$E$128,"510",$AX$6:$AX$128)</f>
        <v>0</v>
      </c>
      <c r="AY138" s="115">
        <f>SUMIF($E$6:$E$128,"510",$AY$6:$AY$128)</f>
        <v>0</v>
      </c>
      <c r="AZ138" s="115">
        <f>SUMIF($E$6:$E$128,"510",$AZ$6:$AZ$128)</f>
        <v>308944538</v>
      </c>
      <c r="BA138" s="115">
        <f>SUMIF($E$6:$E$128,"510",$BA$6:$BA$128)</f>
        <v>0</v>
      </c>
      <c r="BB138" s="115">
        <f>SUMIF($E$6:$E$128,"510",$BB$6:$BB$128)</f>
        <v>0</v>
      </c>
      <c r="BC138" s="115">
        <f>SUMIF($E$6:$E$128," 510",$BC$6:$BC$128)</f>
        <v>0</v>
      </c>
      <c r="BD138" s="115">
        <f>SUMIF($E$6:$E$128,"510",$BD$6:$BD$128)</f>
        <v>452500000</v>
      </c>
      <c r="BE138" s="115">
        <f>SUMIF($E$6:$E$128,"510",$BE$6:$BE$128)</f>
        <v>185687963</v>
      </c>
      <c r="BF138" s="97">
        <f t="shared" ca="1" si="111"/>
        <v>0.13034942411857164</v>
      </c>
      <c r="BG138" s="30">
        <f t="shared" si="112"/>
        <v>298940932</v>
      </c>
      <c r="BH138" s="116">
        <f>SUMIF($E$6:$E$128,"510",$BH$6:$BH$128)</f>
        <v>0</v>
      </c>
      <c r="BI138" s="116">
        <f>SUMIF($E$6:$E$128,"510",$BI$6:$BI$128)</f>
        <v>141764974</v>
      </c>
      <c r="BJ138" s="116">
        <f>SUMIF($E$6:$E$128,"510",$BJ$6:$BJ$128)</f>
        <v>0</v>
      </c>
      <c r="BK138" s="116">
        <f>SUMIF($E$6:$E$128,"510",$BK$6:$BK$128)</f>
        <v>0</v>
      </c>
      <c r="BL138" s="116">
        <f>SUMIF($E$6:$E$128,"510",$BL$6:$BL$128)</f>
        <v>0</v>
      </c>
      <c r="BM138" s="116">
        <f>SUMIF($E$6:$E$128,"510",$BM$6:$BM$128)</f>
        <v>0</v>
      </c>
      <c r="BN138" s="116">
        <f>SUMIF($E$6:$E$128,"510",$BN$6:$BN$128)</f>
        <v>0</v>
      </c>
      <c r="BO138" s="116">
        <f>SUMIF($E$6:$E$128,"510",$BO$6:$BO$128)</f>
        <v>0</v>
      </c>
      <c r="BP138" s="116">
        <f>SUMIF($E$6:$E$128,"510",$BP$6:$BP$128)</f>
        <v>0</v>
      </c>
      <c r="BQ138" s="116">
        <f>SUMIF($E$6:$E$128,"510",$BQ$6:$BQ$128)</f>
        <v>0</v>
      </c>
      <c r="BR138" s="116">
        <f>SUMIF($E$6:$E$128,"510",$BR$6:$BR$128)</f>
        <v>0</v>
      </c>
      <c r="BS138" s="116">
        <f>SUMIF($E$6:$E$128,"510",$BS$6:$BS$128)</f>
        <v>5303966</v>
      </c>
      <c r="BT138" s="116">
        <f>SUMIF($E$6:$E$128,"510",$BT$6:$BT$128)</f>
        <v>0</v>
      </c>
      <c r="BU138" s="116">
        <f>SUMIF($E$6:$E$128,"510",$BU$6:$BU$128)</f>
        <v>0</v>
      </c>
      <c r="BV138" s="116">
        <f>SUMIF($E$6:$E$128,"510",$BV$6:$BV$128)</f>
        <v>0</v>
      </c>
      <c r="BW138" s="116">
        <f>SUMIF($E$6:$E$128,"510",$BW$6:$BW$128)</f>
        <v>0</v>
      </c>
      <c r="BX138" s="116">
        <f>SUMIF($E$6:$E$128,"510",$BX$6:$BX$128)</f>
        <v>0</v>
      </c>
      <c r="BY138" s="116">
        <f>SUMIF($E$6:$E$128,"510",$BY$6:$BY$128)</f>
        <v>48684972</v>
      </c>
      <c r="BZ138" s="116">
        <f>SUMIF($E$6:$E$128,"510",$BZ$6:$BZ$128)</f>
        <v>0</v>
      </c>
      <c r="CA138" s="116">
        <f>SUMIF($E$6:$E$128,"510",$CA$6:$CA$128)</f>
        <v>0</v>
      </c>
      <c r="CB138" s="116">
        <f>SUMIF($E$6:$E$128,"510",$CB$6:$CB$128)</f>
        <v>0</v>
      </c>
      <c r="CC138" s="116">
        <f>SUMIF($E$6:$E$128,"510",$CC$6:$CC$128)</f>
        <v>47633503</v>
      </c>
      <c r="CD138" s="117">
        <f>SUMIF($E$6:$E$128,"510",$CD$6:$CD$128)</f>
        <v>55553517</v>
      </c>
      <c r="CE138" s="27">
        <f t="shared" ca="1" si="113"/>
        <v>0.56703123848874915</v>
      </c>
      <c r="CF138" s="30">
        <f t="shared" si="114"/>
        <v>1300418840</v>
      </c>
      <c r="CG138" s="115">
        <f>SUMIF($E$6:$E$128,"510",$CG$6:$CG$128)</f>
        <v>0</v>
      </c>
      <c r="CH138" s="115">
        <f>SUMIF($E$6:$E$128,"510",$CH$6:$CH$128)</f>
        <v>558221690</v>
      </c>
      <c r="CI138" s="115">
        <f>SUMIF($E$6:$E$128,"510",$CI$6:$CI$128)</f>
        <v>0</v>
      </c>
      <c r="CJ138" s="115">
        <f>SUMIF($E$6:$E$128,"510",$CJ$6:$CJ$128)</f>
        <v>0</v>
      </c>
      <c r="CK138" s="115">
        <f>SUMIF($E$6:$E$128,"510",$CK$6:$CK$128)</f>
        <v>0</v>
      </c>
      <c r="CL138" s="115">
        <f>SUMIF($E$6:$E$128,"510",$CL$6:$CL$128)</f>
        <v>79716667</v>
      </c>
      <c r="CM138" s="115">
        <f>SUMIF($E$6:$E$128,"510",$CM$6:$CM$128)</f>
        <v>0</v>
      </c>
      <c r="CN138" s="115">
        <f>SUMIF($E$6:$E$128,"510",$CN$6:$CN$128)</f>
        <v>0</v>
      </c>
      <c r="CO138" s="115">
        <f>SUMIF($E$6:$E$128,"510",$CO$6:$CO$128)</f>
        <v>0</v>
      </c>
      <c r="CP138" s="115">
        <f>SUMIF($E$6:$E$128,"510",$CP$6:$CP$128)</f>
        <v>0</v>
      </c>
      <c r="CQ138" s="115">
        <f>SUMIF($E$6:$E$128,"510",$CQ$6:$CQ$128)</f>
        <v>0</v>
      </c>
      <c r="CR138" s="115">
        <f>SUMIF($E$6:$E$128,"510",$CR$6:$CR$128)</f>
        <v>210994997</v>
      </c>
      <c r="CS138" s="115">
        <f>SUMIF($E$6:$E$128,"510",$CS$6:$CS$128)</f>
        <v>0</v>
      </c>
      <c r="CT138" s="115">
        <f>SUMIF($E$6:$E$128,"510",$CT$6:$CT$128)</f>
        <v>0</v>
      </c>
      <c r="CU138" s="115">
        <f>SUMIF($E$6:$E$128,"510",$CU$6:$CU$128)</f>
        <v>0</v>
      </c>
      <c r="CV138" s="115">
        <f>SUMIF($E$6:$E$128,"510",$CV$6:$CV$128)</f>
        <v>0</v>
      </c>
      <c r="CW138" s="115">
        <f>SUMIF($E$6:$E$128,"510",$CW$6:$CW$128)</f>
        <v>0</v>
      </c>
      <c r="CX138" s="115">
        <f>SUMIF($E$6:$E$128,"510",$CX$6:$CX$128)</f>
        <v>283273333</v>
      </c>
      <c r="CY138" s="115">
        <f>SUMIF($E$6:$E$128,"510",$CY$6:$CY$128)</f>
        <v>0</v>
      </c>
      <c r="CZ138" s="115">
        <f>SUMIF($E$6:$E$128,"510",$CZ$6:$CZ$128)</f>
        <v>0</v>
      </c>
      <c r="DA138" s="115">
        <f>SUMIF($E$6:$E$128,"510",$DA$6:$DA$128)</f>
        <v>0</v>
      </c>
      <c r="DB138" s="115">
        <f>SUMIF($E$6:$E$128,"510",$DB$6:$DB$128)</f>
        <v>56673333</v>
      </c>
      <c r="DC138" s="118">
        <f>SUMIF($E$6:$E$128,"510",$DC$6:$DC$128)</f>
        <v>111538820</v>
      </c>
      <c r="DD138" s="27">
        <f t="shared" ca="1" si="115"/>
        <v>0.43296876151125085</v>
      </c>
      <c r="DE138" s="30">
        <f t="shared" si="116"/>
        <v>992962462</v>
      </c>
      <c r="DF138" s="116">
        <f>SUMIF($E$6:$E$128,"510",$DF$6:$DF$128)</f>
        <v>0</v>
      </c>
      <c r="DG138" s="116">
        <f>SUMIF($E$6:$E$128,"510",$DG$6:$DG$128)</f>
        <v>209299902</v>
      </c>
      <c r="DH138" s="116">
        <f>SUMIF($E$6:$E$128,"510",$DH$6:$DH$128)</f>
        <v>0</v>
      </c>
      <c r="DI138" s="116">
        <f>SUMIF($E$6:$E$128,"510",$DI$6:$DI$128)</f>
        <v>114000000</v>
      </c>
      <c r="DJ138" s="116">
        <f>SUMIF($E$6:$E$128,"510",$DJ$6:$DJ$128)</f>
        <v>0</v>
      </c>
      <c r="DK138" s="116">
        <f>SUMIF($E$6:$E$128,"510",$DK$6:$DK$128)</f>
        <v>283333</v>
      </c>
      <c r="DL138" s="116">
        <f>SUMIF($E$6:$E$128,"510",$DL$6:$DL$128)</f>
        <v>0</v>
      </c>
      <c r="DM138" s="116">
        <f>SUMIF($E$6:$E$128,"510",$DM$6:$DM$128)</f>
        <v>0</v>
      </c>
      <c r="DN138" s="116">
        <f>SUMIF($E$6:$E$128,"510",$DN$6:$DN$128)</f>
        <v>0</v>
      </c>
      <c r="DO138" s="116">
        <f>SUMIF($E$6:$E$128,"510",$DO$6:$DO$128)</f>
        <v>0</v>
      </c>
      <c r="DP138" s="119">
        <f>SUMIF($E$6:$E$128,"510",$DP$6:$DP$128)</f>
        <v>0</v>
      </c>
      <c r="DQ138" s="119">
        <f>SUMIF($E$6:$E$128,"510",$DQ$6:$DQ$128)</f>
        <v>21860220</v>
      </c>
      <c r="DR138" s="119">
        <f>SUMIF($E$6:$E$128,"510",$DR$6:$DR$128)</f>
        <v>0</v>
      </c>
      <c r="DS138" s="119">
        <f>SUMIF($E$6:$E$128,"510",$DS$6:$DS$128)</f>
        <v>0</v>
      </c>
      <c r="DT138" s="119">
        <f>SUMIF($E$6:$E$128,"510",$DT$6:$DT$128)</f>
        <v>0</v>
      </c>
      <c r="DU138" s="119">
        <f>SUMIF($E$6:$E$128,"510",$DU$6:$DU$128)</f>
        <v>0</v>
      </c>
      <c r="DV138" s="119">
        <f>SUMIF($E$6:$E$128,"510",$DV$6:$DV$128)</f>
        <v>0</v>
      </c>
      <c r="DW138" s="119">
        <f>SUMIF($E$6:$E$128,"510",$DW$6:$DW$128)</f>
        <v>74356177</v>
      </c>
      <c r="DX138" s="119">
        <f>SUMIF($E$6:$E$128,"510",$DX$6:$DX$128)</f>
        <v>0</v>
      </c>
      <c r="DY138" s="119">
        <f>SUMIF($E$6:$E$128,"510",$DY$6:$DY$128)</f>
        <v>0</v>
      </c>
      <c r="DZ138" s="119">
        <f>SUMIF($E$6:$E$128,"510",$DZ$6:$DZ$128)</f>
        <v>0</v>
      </c>
      <c r="EA138" s="119">
        <f>SUMIF($E$6:$E$128,"510",$EA$6:$EA$128)</f>
        <v>443460170</v>
      </c>
      <c r="EB138" s="119">
        <f>SUMIF($E$6:$E$128,"510",$EB$6:$EB$128)</f>
        <v>129702660</v>
      </c>
      <c r="ED138" s="151" t="s">
        <v>389</v>
      </c>
      <c r="EE138" s="52">
        <v>7636534557</v>
      </c>
      <c r="EF138" s="52">
        <v>4239438795</v>
      </c>
      <c r="EG138" s="160">
        <f t="shared" ca="1" si="117"/>
        <v>0.55515217843333597</v>
      </c>
    </row>
    <row r="139" spans="1:139" ht="15.75" x14ac:dyDescent="0.25">
      <c r="C139" s="122"/>
      <c r="D139" s="111" t="s">
        <v>373</v>
      </c>
      <c r="E139" s="104">
        <v>520</v>
      </c>
      <c r="F139" s="112"/>
      <c r="G139" s="113">
        <f ca="1">SUMIF($E$6:$G$129,"520",$G$6:$J$128)</f>
        <v>4184492718</v>
      </c>
      <c r="H139" s="114">
        <f ca="1">SUMIF($E$6:$H$129,"520",$H$6:$J$128)</f>
        <v>6638028500</v>
      </c>
      <c r="I139" s="114">
        <f ca="1">SUMIF($E$6:$I$129,"520",$I$6:$J$128)</f>
        <v>2453535782</v>
      </c>
      <c r="J139" s="113">
        <f>SUMIF($E$6:$E$128,"520",$J$6:$J$128)</f>
        <v>0</v>
      </c>
      <c r="K139" s="113">
        <f>SUMIF($E$6:$E$128,"520",$K$6:$K$128)</f>
        <v>1164848967</v>
      </c>
      <c r="L139" s="113">
        <f>SUMIF($E$6:$E$129,"520",$L$6:$L$129)</f>
        <v>0</v>
      </c>
      <c r="M139" s="113">
        <f>SUMIF($E$6:$E$129,"520",$M$6:$M$129)</f>
        <v>0</v>
      </c>
      <c r="N139" s="115">
        <f>SUMIF($E$6:$E$128,"520",$N$6:$N$128)</f>
        <v>0</v>
      </c>
      <c r="O139" s="112">
        <f>SUMIF($E$6:$E$128,"520",$O$6:$O$128)</f>
        <v>0</v>
      </c>
      <c r="P139" s="112">
        <f>SUMIF($E$6:$E$128,"520",$P$6:$P$128)</f>
        <v>0</v>
      </c>
      <c r="Q139" s="112">
        <f>SUMIF($E$6:$E$128,"520",$Q$6:$Q$128)</f>
        <v>0</v>
      </c>
      <c r="R139" s="112">
        <f>SUMIF($E$6:$E$128,"520",$R$6:$R$128)</f>
        <v>0</v>
      </c>
      <c r="S139" s="112">
        <f>SUMIF($E$6:$E$128,"520",$S$6:$S$128)</f>
        <v>0</v>
      </c>
      <c r="T139" s="112">
        <f>SUMIF($E$6:$E$128,"520",$T$6:$T$128)</f>
        <v>0</v>
      </c>
      <c r="U139" s="112">
        <f>SUMIF($E$6:$E$128,"520",$U$6:$U$128)</f>
        <v>0</v>
      </c>
      <c r="V139" s="112">
        <f>SUMIF($E$6:$E$128,"520",$V$6:$V$128)</f>
        <v>0</v>
      </c>
      <c r="W139" s="112">
        <f>SUMIF($E$6:$E$128,"520",$W$6:$W$128)</f>
        <v>0</v>
      </c>
      <c r="X139" s="112">
        <f>SUMIF($E$6:$E$128,"520",$X$6:$X$128)</f>
        <v>0</v>
      </c>
      <c r="Y139" s="112">
        <f>SUMIF($E$6:$E$128,"520",$Y$6:$Y$128)</f>
        <v>1500000000</v>
      </c>
      <c r="Z139" s="112">
        <f>SUMIF($E$6:$E$128,"520",$Z$6:$Z$128)</f>
        <v>0</v>
      </c>
      <c r="AA139" s="112">
        <f>SUMIF($E$6:$E$128,"520",$AA$6:$AA$128)</f>
        <v>369395921</v>
      </c>
      <c r="AB139" s="112">
        <f>SUMIF($E$6:$E$128,"520",$AB$6:$AB$128)</f>
        <v>283957637</v>
      </c>
      <c r="AC139" s="112">
        <f>SUMIF($E$6:$E$105,"520",$AC$6:$AC$105)</f>
        <v>0</v>
      </c>
      <c r="AD139" s="112"/>
      <c r="AE139" s="112">
        <f>SUMIF($E$6:$E$128,"520",$AE$6:$AE$128)</f>
        <v>0</v>
      </c>
      <c r="AF139" s="112">
        <f>SUMIF($E$6:$E$128,"520",$AF$6:$AF$128)</f>
        <v>866290193</v>
      </c>
      <c r="AG139" s="27">
        <f t="shared" ca="1" si="110"/>
        <v>0.68401742287367029</v>
      </c>
      <c r="AH139" s="115">
        <f>SUMIF($E$6:$E$128,"520",$AH$6:$AH$128)</f>
        <v>2862265925</v>
      </c>
      <c r="AI139" s="115">
        <f>SUMIF($E$6:$E$128,"520",$AI$6:$AI$128)</f>
        <v>0</v>
      </c>
      <c r="AJ139" s="115">
        <f>SUMIF($E$6:$E$128,"520",$AJ$6:$AJ$128)</f>
        <v>1090039942</v>
      </c>
      <c r="AK139" s="115">
        <f>SUMIF($E$6:$E$128,"520",$AK$6:$AK$128)</f>
        <v>0</v>
      </c>
      <c r="AL139" s="115">
        <f>SUMIF($E$6:$E$128,"520",$AL$6:$AL$128)</f>
        <v>0</v>
      </c>
      <c r="AM139" s="115">
        <f>SUMIF($E$6:$E$128,"520",$AM$6:$AM$128)</f>
        <v>0</v>
      </c>
      <c r="AN139" s="115">
        <f>SUMIF($E$6:$E$128,"520",$AN$6:$AN$128)</f>
        <v>0</v>
      </c>
      <c r="AO139" s="115">
        <f>SUMIF($E$6:$E$128,"520",$AO$6:$AO$128)</f>
        <v>0</v>
      </c>
      <c r="AP139" s="115">
        <f>SUMIF($E$6:$E$128,"520",$AP$6:$AP$128)</f>
        <v>0</v>
      </c>
      <c r="AQ139" s="115">
        <f>SUMIF($E$6:$E$128,"520",$AQ$6:$AQ$128)</f>
        <v>0</v>
      </c>
      <c r="AR139" s="115">
        <f>SUMIF($E$6:$E$128,"520",$AR$6:$AR$128)</f>
        <v>0</v>
      </c>
      <c r="AS139" s="115">
        <f>SUMIF($E$6:$E$128,"520",$AS$6:$AS$128)</f>
        <v>0</v>
      </c>
      <c r="AT139" s="115">
        <f>SUMIF($E$6:$E$128,"520",$AT$6:$AT$128)</f>
        <v>0</v>
      </c>
      <c r="AU139" s="115">
        <f>SUMIF($E$6:$E$128,"520",$AU$6:$AU$128)</f>
        <v>0</v>
      </c>
      <c r="AV139" s="115">
        <f>SUMIF($E$6:$E$128,"520",$AV$6:$AV$128)</f>
        <v>0</v>
      </c>
      <c r="AW139" s="115">
        <f>SUMIF($E$6:$E$128,"520",$AW$6:$AW$128)</f>
        <v>0</v>
      </c>
      <c r="AX139" s="115">
        <f>SUMIF($E$6:$E$128,"520",$AX$6:$AX$128)</f>
        <v>405014429</v>
      </c>
      <c r="AY139" s="115">
        <f>SUMIF($E$6:$E$128,"520",$AY$6:$AY$128)</f>
        <v>0</v>
      </c>
      <c r="AZ139" s="115">
        <f>SUMIF($E$6:$E$128,"520",$AZ$6:$AZ$128)</f>
        <v>342471444</v>
      </c>
      <c r="BA139" s="115">
        <f>SUMIF($E$6:$E$128,"520",$BA$6:$BA$128)</f>
        <v>277047545</v>
      </c>
      <c r="BB139" s="115">
        <f>SUMIF($E$6:$E$128,"520",$BB$6:$BB$128)</f>
        <v>0</v>
      </c>
      <c r="BC139" s="115">
        <f>SUMIF($E$6:$E$128,"520",$BC$6:$BC$128)</f>
        <v>0</v>
      </c>
      <c r="BD139" s="115">
        <f>SUMIF($E$6:$E$128,"520",$BD$6:$BD$128)</f>
        <v>0</v>
      </c>
      <c r="BE139" s="115">
        <f>SUMIF($E$6:$E$128,"520",$BE$6:$BE$128)</f>
        <v>747692565</v>
      </c>
      <c r="BF139" s="97">
        <f t="shared" ca="1" si="111"/>
        <v>0.31598257712632971</v>
      </c>
      <c r="BG139" s="30">
        <f t="shared" si="112"/>
        <v>1322226793</v>
      </c>
      <c r="BH139" s="116">
        <f>SUMIF($E$6:$E$128,"520",$BH$6:$BH$128)</f>
        <v>0</v>
      </c>
      <c r="BI139" s="116">
        <f>SUMIF($E$6:$E$128,"520",$BI$6:$BI$128)</f>
        <v>74809025</v>
      </c>
      <c r="BJ139" s="116">
        <f>SUMIF($E$6:$E$128,"520",$BJ$6:$BJ$128)</f>
        <v>0</v>
      </c>
      <c r="BK139" s="116">
        <f>SUMIF($E$6:$E$128,"520",$BK$6:$BK$128)</f>
        <v>0</v>
      </c>
      <c r="BL139" s="116">
        <f>SUMIF($E$6:$E$128,"520",$BL$6:$BL$128)</f>
        <v>0</v>
      </c>
      <c r="BM139" s="116">
        <f>SUMIF($E$6:$E$128,"520",$BM$6:$BM$128)</f>
        <v>0</v>
      </c>
      <c r="BN139" s="116">
        <f>SUMIF($E$6:$E$128,"520",$BN$6:$BN$128)</f>
        <v>0</v>
      </c>
      <c r="BO139" s="116">
        <f>SUMIF($E$6:$E$128,"520",$BO$6:$BO$128)</f>
        <v>0</v>
      </c>
      <c r="BP139" s="116">
        <f>SUMIF($E$6:$E$128,"520",$BP$6:$BP$128)</f>
        <v>0</v>
      </c>
      <c r="BQ139" s="116">
        <f>SUMIF($E$6:$E$128,"520",$BQ$6:$BQ$128)</f>
        <v>0</v>
      </c>
      <c r="BR139" s="116">
        <f>SUMIF($E$6:$E$128,"520",$BR$6:$BR$128)</f>
        <v>0</v>
      </c>
      <c r="BS139" s="116">
        <f>SUMIF($E$6:$E$128,"520",$BS$6:$BS$128)</f>
        <v>0</v>
      </c>
      <c r="BT139" s="116">
        <f>SUMIF($E$6:$E$128,"520",$BT$6:$BT$128)</f>
        <v>0</v>
      </c>
      <c r="BU139" s="116">
        <f>SUMIF($E$6:$E$128,"520",$BU$6:$BU$128)</f>
        <v>0</v>
      </c>
      <c r="BV139" s="116">
        <f>SUMIF($E$6:$E$128,"520",$BV$6:$BV$128)</f>
        <v>0</v>
      </c>
      <c r="BW139" s="116">
        <f>SUMIF($E$6:$E$128,"520",$BW$6:$BW$128)</f>
        <v>1094985571</v>
      </c>
      <c r="BX139" s="116">
        <f>SUMIF($E$6:$E$128,"520",$BX$6:$BX$128)</f>
        <v>0</v>
      </c>
      <c r="BY139" s="116">
        <f>SUMIF($E$6:$E$128,"520",$BY$6:$BY$128)</f>
        <v>26924477</v>
      </c>
      <c r="BZ139" s="116">
        <f>SUMIF($E$6:$E$128,"520",$BZ$6:$BZ$128)</f>
        <v>6910092</v>
      </c>
      <c r="CA139" s="116">
        <f>SUMIF($E$6:$E$128,"520",$CA$6:$CA$128)</f>
        <v>0</v>
      </c>
      <c r="CB139" s="116">
        <f>SUMIF($E$6:$E$128,"520",$CB$6:$CB$128)</f>
        <v>0</v>
      </c>
      <c r="CC139" s="116">
        <f>SUMIF($E$6:$E$128,"520",$CC$6:$CC$128)</f>
        <v>0</v>
      </c>
      <c r="CD139" s="117">
        <f>SUMIF($E$6:$E$128,"520",$CD$6:$CD$128)</f>
        <v>118597628</v>
      </c>
      <c r="CE139" s="27">
        <f t="shared" ca="1" si="113"/>
        <v>0.50298706099934953</v>
      </c>
      <c r="CF139" s="30">
        <f t="shared" si="114"/>
        <v>2104745694</v>
      </c>
      <c r="CG139" s="115">
        <f>SUMIF($E$6:$E$128,"520",$CG$6:$CG$128)</f>
        <v>0</v>
      </c>
      <c r="CH139" s="115">
        <f>SUMIF($E$6:$E$128,"520",$CH$6:$CH$128)</f>
        <v>925327729</v>
      </c>
      <c r="CI139" s="115">
        <f>SUMIF($E$6:$E$128,"520",$CI$6:$CI$128)</f>
        <v>0</v>
      </c>
      <c r="CJ139" s="115">
        <f>SUMIF($E$6:$E$128,"520",$CJ$6:$CJ$128)</f>
        <v>0</v>
      </c>
      <c r="CK139" s="115">
        <f>SUMIF($E$6:$E$128,"520",$CK$6:$CK$128)</f>
        <v>0</v>
      </c>
      <c r="CL139" s="115">
        <f>SUMIF($E$6:$E$128,"520",$CL$6:$CL$128)</f>
        <v>0</v>
      </c>
      <c r="CM139" s="115">
        <f>SUMIF($E$6:$E$128,"520",$CM$6:$CM$128)</f>
        <v>0</v>
      </c>
      <c r="CN139" s="115">
        <f>SUMIF($E$6:$E$128,"520",$CN$6:$CN$128)</f>
        <v>0</v>
      </c>
      <c r="CO139" s="115">
        <f>SUMIF($E$6:$E$128,"520",$CO$6:$CO$128)</f>
        <v>0</v>
      </c>
      <c r="CP139" s="115">
        <f>SUMIF($E$6:$E$128,"520",$CP$6:$CP$128)</f>
        <v>0</v>
      </c>
      <c r="CQ139" s="115">
        <f>SUMIF($E$6:$E$128,"520",$CQ$6:$CQ$128)</f>
        <v>0</v>
      </c>
      <c r="CR139" s="115">
        <f>SUMIF($E$6:$E$128,"520",$CR$6:$CR$128)</f>
        <v>0</v>
      </c>
      <c r="CS139" s="115">
        <f>SUMIF($E$6:$E$128,"520",$CS$6:$CS$128)</f>
        <v>0</v>
      </c>
      <c r="CT139" s="115">
        <f>SUMIF($E$6:$E$128,"520",$CT$6:$CT$128)</f>
        <v>0</v>
      </c>
      <c r="CU139" s="115">
        <f>SUMIF($E$6:$E$128,"520",$CU$6:$CU$128)</f>
        <v>0</v>
      </c>
      <c r="CV139" s="115">
        <f>SUMIF($E$6:$E$128,"520",$CV$6:$CV$128)</f>
        <v>183323761</v>
      </c>
      <c r="CW139" s="115">
        <f>SUMIF($E$6:$E$128,"520",$CW$6:$CW$128)</f>
        <v>0</v>
      </c>
      <c r="CX139" s="115">
        <f>SUMIF($E$6:$E$128,"520",$CX$6:$CX$128)</f>
        <v>217430765</v>
      </c>
      <c r="CY139" s="115">
        <f>SUMIF($E$6:$E$128,"520",$CY$6:$CY$128)</f>
        <v>171636319</v>
      </c>
      <c r="CZ139" s="115">
        <f>SUMIF($E$6:$E$128,"520",$CZ$6:$CZ$128)</f>
        <v>0</v>
      </c>
      <c r="DA139" s="115">
        <f>SUMIF($E$6:$E$128,"520",$DA$6:$DA$128)</f>
        <v>0</v>
      </c>
      <c r="DB139" s="115">
        <f>SUMIF($E$6:$E$128,"520",$DB$6:$DB$128)</f>
        <v>0</v>
      </c>
      <c r="DC139" s="118">
        <f>SUMIF($E$6:$E$128,"520",$DC$6:$DC$128)</f>
        <v>607027120</v>
      </c>
      <c r="DD139" s="27">
        <f t="shared" ca="1" si="115"/>
        <v>0.49701293900065047</v>
      </c>
      <c r="DE139" s="30">
        <f t="shared" si="116"/>
        <v>2079747024</v>
      </c>
      <c r="DF139" s="116">
        <f>SUMIF($E$6:$E$128,"520",$DF$6:$DF$128)</f>
        <v>0</v>
      </c>
      <c r="DG139" s="116">
        <f>SUMIF($E$6:$E$128,"520",$DG$6:$DG$128)</f>
        <v>239521238</v>
      </c>
      <c r="DH139" s="116">
        <f>SUMIF($E$6:$E$128,"520",$DH$6:$DH$128)</f>
        <v>0</v>
      </c>
      <c r="DI139" s="116">
        <f>SUMIF($E$6:$E$128,"520",$DI$6:$DI$128)</f>
        <v>0</v>
      </c>
      <c r="DJ139" s="116">
        <f>SUMIF($E$6:$E$128,"520",$DJ$6:$DJ$128)</f>
        <v>0</v>
      </c>
      <c r="DK139" s="116">
        <f>SUMIF($E$6:$E$128,"520",$DK$6:$DK$128)</f>
        <v>0</v>
      </c>
      <c r="DL139" s="116">
        <f>SUMIF($E$6:$E$128,"520",$DL$6:$DL$128)</f>
        <v>0</v>
      </c>
      <c r="DM139" s="116">
        <f>SUMIF($E$6:$E$128,"520",$DM$6:$DM$128)</f>
        <v>0</v>
      </c>
      <c r="DN139" s="116">
        <f>SUMIF($E$6:$E$128,"520",$DN$6:$DN$128)</f>
        <v>0</v>
      </c>
      <c r="DO139" s="116">
        <f>SUMIF($E$6:$E$128,"520",$DO$6:$DO$128)</f>
        <v>0</v>
      </c>
      <c r="DP139" s="119">
        <f>SUMIF($E$6:$E$128,"520",$DP$6:$DP$128)</f>
        <v>0</v>
      </c>
      <c r="DQ139" s="119">
        <f>SUMIF($E$6:$E$128,"520",$DQ$6:$DQ$128)</f>
        <v>0</v>
      </c>
      <c r="DR139" s="119">
        <f>SUMIF($E$6:$E$128,"520",$DR$6:$DR$128)</f>
        <v>0</v>
      </c>
      <c r="DS139" s="119">
        <f>SUMIF($E$6:$E$128,"520",$DS$6:$DS$128)</f>
        <v>0</v>
      </c>
      <c r="DT139" s="119">
        <f>SUMIF($E$6:$E$128,"520",$DT$6:$DT$128)</f>
        <v>0</v>
      </c>
      <c r="DU139" s="119">
        <f>SUMIF($E$6:$E$128,"520",$DU$6:$DU$128)</f>
        <v>1316676239</v>
      </c>
      <c r="DV139" s="119">
        <f>SUMIF($E$6:$E$128,"520",$DV$6:$DV$128)</f>
        <v>0</v>
      </c>
      <c r="DW139" s="119">
        <f>SUMIF($E$6:$E$128,"520",$DW$6:$DW$128)</f>
        <v>151965156</v>
      </c>
      <c r="DX139" s="119">
        <f>SUMIF($E$6:$E$128,"520",$DX$6:$DX$128)</f>
        <v>112321318</v>
      </c>
      <c r="DY139" s="119">
        <f>SUMIF($E$6:$E$128,"520",$DY$6:$DY$128)</f>
        <v>0</v>
      </c>
      <c r="DZ139" s="119">
        <f>SUMIF($E$6:$E$128,"520",$DZ$6:$DZ$128)</f>
        <v>0</v>
      </c>
      <c r="EA139" s="119">
        <f>SUMIF($E$6:$E$128,"520",$EA$6:$EA$128)</f>
        <v>0</v>
      </c>
      <c r="EB139" s="119">
        <f>SUMIF($E$6:$E$128,"520",$EB$6:$EB$128)</f>
        <v>259263073</v>
      </c>
      <c r="ED139" s="151" t="s">
        <v>390</v>
      </c>
      <c r="EE139" s="52">
        <v>2293381302</v>
      </c>
      <c r="EF139" s="52">
        <v>1300418840</v>
      </c>
      <c r="EG139" s="160">
        <f t="shared" ca="1" si="117"/>
        <v>0.56703123848874915</v>
      </c>
    </row>
    <row r="140" spans="1:139" ht="16.5" thickBot="1" x14ac:dyDescent="0.3">
      <c r="C140" s="250" t="s">
        <v>374</v>
      </c>
      <c r="D140" s="251"/>
      <c r="E140" s="124"/>
      <c r="F140" s="125"/>
      <c r="G140" s="126">
        <f t="shared" ref="G140:AF140" ca="1" si="118">SUM(G133:G139)</f>
        <v>36582784878</v>
      </c>
      <c r="H140" s="127">
        <f t="shared" ca="1" si="118"/>
        <v>45545351400.672722</v>
      </c>
      <c r="I140" s="127">
        <f t="shared" ca="1" si="118"/>
        <v>8962566522.67272</v>
      </c>
      <c r="J140" s="126">
        <f t="shared" si="118"/>
        <v>1296139287</v>
      </c>
      <c r="K140" s="126">
        <f t="shared" si="118"/>
        <v>3070370559</v>
      </c>
      <c r="L140" s="126">
        <f t="shared" si="118"/>
        <v>29883260</v>
      </c>
      <c r="M140" s="126">
        <f t="shared" si="118"/>
        <v>376904086</v>
      </c>
      <c r="N140" s="126">
        <f t="shared" si="118"/>
        <v>10500000000</v>
      </c>
      <c r="O140" s="126">
        <f t="shared" si="118"/>
        <v>160000000</v>
      </c>
      <c r="P140" s="126">
        <f t="shared" si="118"/>
        <v>265157791</v>
      </c>
      <c r="Q140" s="126">
        <f t="shared" si="118"/>
        <v>2176724769</v>
      </c>
      <c r="R140" s="126">
        <f t="shared" si="118"/>
        <v>515598133</v>
      </c>
      <c r="S140" s="126">
        <f t="shared" si="118"/>
        <v>387702575</v>
      </c>
      <c r="T140" s="126">
        <f t="shared" si="118"/>
        <v>390301410</v>
      </c>
      <c r="U140" s="128">
        <f t="shared" si="118"/>
        <v>846056019</v>
      </c>
      <c r="V140" s="128">
        <f t="shared" si="118"/>
        <v>101231112</v>
      </c>
      <c r="W140" s="126">
        <f t="shared" si="118"/>
        <v>459603682</v>
      </c>
      <c r="X140" s="128">
        <f t="shared" si="118"/>
        <v>183785326</v>
      </c>
      <c r="Y140" s="126">
        <f t="shared" si="118"/>
        <v>5263002893</v>
      </c>
      <c r="Z140" s="126">
        <f t="shared" si="118"/>
        <v>1195065295</v>
      </c>
      <c r="AA140" s="126">
        <f t="shared" si="118"/>
        <v>2444583525</v>
      </c>
      <c r="AB140" s="126">
        <f t="shared" si="118"/>
        <v>1510249154</v>
      </c>
      <c r="AC140" s="126">
        <f t="shared" si="118"/>
        <v>1828902165</v>
      </c>
      <c r="AD140" s="126">
        <f t="shared" si="118"/>
        <v>320081566</v>
      </c>
      <c r="AE140" s="126">
        <f t="shared" si="118"/>
        <v>698746490</v>
      </c>
      <c r="AF140" s="126">
        <f t="shared" si="118"/>
        <v>2562695781</v>
      </c>
      <c r="AG140" s="129">
        <f t="shared" ca="1" si="110"/>
        <v>0.61389038871410773</v>
      </c>
      <c r="AH140" s="130">
        <f t="shared" ref="AH140:BE140" si="119">SUM(AH133:AH139)</f>
        <v>22457820029</v>
      </c>
      <c r="AI140" s="130">
        <f t="shared" si="119"/>
        <v>827576731</v>
      </c>
      <c r="AJ140" s="130">
        <f t="shared" si="119"/>
        <v>2722407075</v>
      </c>
      <c r="AK140" s="130">
        <f t="shared" si="119"/>
        <v>24243035</v>
      </c>
      <c r="AL140" s="130">
        <f t="shared" si="119"/>
        <v>134000000</v>
      </c>
      <c r="AM140" s="130">
        <f t="shared" si="119"/>
        <v>3644933044</v>
      </c>
      <c r="AN140" s="130">
        <f t="shared" si="119"/>
        <v>80000000</v>
      </c>
      <c r="AO140" s="130">
        <f t="shared" si="119"/>
        <v>265157791</v>
      </c>
      <c r="AP140" s="130">
        <f t="shared" si="119"/>
        <v>1964146935</v>
      </c>
      <c r="AQ140" s="130">
        <f t="shared" si="119"/>
        <v>371999999</v>
      </c>
      <c r="AR140" s="130">
        <f t="shared" si="119"/>
        <v>260103239</v>
      </c>
      <c r="AS140" s="130">
        <f t="shared" si="119"/>
        <v>175134741</v>
      </c>
      <c r="AT140" s="130">
        <f t="shared" si="119"/>
        <v>540551251</v>
      </c>
      <c r="AU140" s="130">
        <f t="shared" si="119"/>
        <v>37231112</v>
      </c>
      <c r="AV140" s="130">
        <f t="shared" si="119"/>
        <v>20000000</v>
      </c>
      <c r="AW140" s="130">
        <f t="shared" si="119"/>
        <v>20000000</v>
      </c>
      <c r="AX140" s="130">
        <f t="shared" si="119"/>
        <v>3834190260</v>
      </c>
      <c r="AY140" s="130">
        <f t="shared" si="119"/>
        <v>1086714654</v>
      </c>
      <c r="AZ140" s="130">
        <f t="shared" si="119"/>
        <v>1745869750</v>
      </c>
      <c r="BA140" s="130">
        <f t="shared" si="119"/>
        <v>1018408730</v>
      </c>
      <c r="BB140" s="130">
        <f t="shared" si="119"/>
        <v>791164006</v>
      </c>
      <c r="BC140" s="130">
        <f t="shared" si="119"/>
        <v>290803643</v>
      </c>
      <c r="BD140" s="130">
        <f t="shared" si="119"/>
        <v>651112987</v>
      </c>
      <c r="BE140" s="130">
        <f t="shared" si="119"/>
        <v>1952071046</v>
      </c>
      <c r="BF140" s="131">
        <f t="shared" ca="1" si="111"/>
        <v>0.38610961128589227</v>
      </c>
      <c r="BG140" s="130">
        <f t="shared" ref="BG140:CD140" si="120">SUM(BG133:BG139)</f>
        <v>14124964849</v>
      </c>
      <c r="BH140" s="130">
        <f t="shared" si="120"/>
        <v>468562556</v>
      </c>
      <c r="BI140" s="130">
        <f t="shared" si="120"/>
        <v>347963484</v>
      </c>
      <c r="BJ140" s="130">
        <f t="shared" si="120"/>
        <v>5640225</v>
      </c>
      <c r="BK140" s="130">
        <f t="shared" si="120"/>
        <v>242904086</v>
      </c>
      <c r="BL140" s="130">
        <f t="shared" si="120"/>
        <v>6855066956</v>
      </c>
      <c r="BM140" s="130">
        <f t="shared" si="120"/>
        <v>80000000</v>
      </c>
      <c r="BN140" s="130">
        <f t="shared" si="120"/>
        <v>0</v>
      </c>
      <c r="BO140" s="130">
        <f t="shared" si="120"/>
        <v>212577834</v>
      </c>
      <c r="BP140" s="130">
        <f t="shared" si="120"/>
        <v>143598134</v>
      </c>
      <c r="BQ140" s="130">
        <f t="shared" si="120"/>
        <v>127599336</v>
      </c>
      <c r="BR140" s="130">
        <f t="shared" si="120"/>
        <v>215166669</v>
      </c>
      <c r="BS140" s="130">
        <f t="shared" si="120"/>
        <v>305504768</v>
      </c>
      <c r="BT140" s="130">
        <f t="shared" si="120"/>
        <v>64000000</v>
      </c>
      <c r="BU140" s="130">
        <f t="shared" si="120"/>
        <v>439603682</v>
      </c>
      <c r="BV140" s="130">
        <f t="shared" si="120"/>
        <v>163785326</v>
      </c>
      <c r="BW140" s="130">
        <f t="shared" si="120"/>
        <v>1428812633</v>
      </c>
      <c r="BX140" s="130">
        <f t="shared" si="120"/>
        <v>108350641</v>
      </c>
      <c r="BY140" s="130">
        <f t="shared" si="120"/>
        <v>698713775</v>
      </c>
      <c r="BZ140" s="130">
        <f t="shared" si="120"/>
        <v>491840424</v>
      </c>
      <c r="CA140" s="130">
        <f t="shared" si="120"/>
        <v>1037738159</v>
      </c>
      <c r="CB140" s="130">
        <f t="shared" si="120"/>
        <v>29277923</v>
      </c>
      <c r="CC140" s="130">
        <f t="shared" si="120"/>
        <v>47633503</v>
      </c>
      <c r="CD140" s="130">
        <f t="shared" si="120"/>
        <v>610624735</v>
      </c>
      <c r="CE140" s="27">
        <f t="shared" ca="1" si="113"/>
        <v>0.45337613028400892</v>
      </c>
      <c r="CF140" s="132">
        <f t="shared" ref="CF140:DC140" si="121">SUM(CF133:CF139)</f>
        <v>16585761443</v>
      </c>
      <c r="CG140" s="132">
        <f t="shared" si="121"/>
        <v>621958094</v>
      </c>
      <c r="CH140" s="132">
        <f t="shared" si="121"/>
        <v>2348222669</v>
      </c>
      <c r="CI140" s="132">
        <f t="shared" si="121"/>
        <v>0</v>
      </c>
      <c r="CJ140" s="132">
        <f t="shared" si="121"/>
        <v>0</v>
      </c>
      <c r="CK140" s="132">
        <f t="shared" si="121"/>
        <v>3643156231</v>
      </c>
      <c r="CL140" s="132">
        <f t="shared" si="121"/>
        <v>79716667</v>
      </c>
      <c r="CM140" s="132">
        <f t="shared" si="121"/>
        <v>265157791</v>
      </c>
      <c r="CN140" s="132">
        <f t="shared" si="121"/>
        <v>864196600</v>
      </c>
      <c r="CO140" s="132">
        <f t="shared" si="121"/>
        <v>290444638</v>
      </c>
      <c r="CP140" s="132">
        <f t="shared" si="121"/>
        <v>189612791</v>
      </c>
      <c r="CQ140" s="132">
        <f t="shared" si="121"/>
        <v>74302196</v>
      </c>
      <c r="CR140" s="132">
        <f t="shared" si="121"/>
        <v>446784786</v>
      </c>
      <c r="CS140" s="132">
        <f t="shared" si="121"/>
        <v>0</v>
      </c>
      <c r="CT140" s="132">
        <f t="shared" si="121"/>
        <v>0</v>
      </c>
      <c r="CU140" s="132">
        <f t="shared" si="121"/>
        <v>0</v>
      </c>
      <c r="CV140" s="132">
        <f t="shared" si="121"/>
        <v>2833477327</v>
      </c>
      <c r="CW140" s="132">
        <f t="shared" si="121"/>
        <v>920497331</v>
      </c>
      <c r="CX140" s="132">
        <f t="shared" si="121"/>
        <v>1515683971</v>
      </c>
      <c r="CY140" s="132">
        <f t="shared" si="121"/>
        <v>684444407</v>
      </c>
      <c r="CZ140" s="132">
        <f t="shared" si="121"/>
        <v>509944628</v>
      </c>
      <c r="DA140" s="132">
        <f t="shared" si="121"/>
        <v>162631546</v>
      </c>
      <c r="DB140" s="132">
        <f t="shared" si="121"/>
        <v>56673333</v>
      </c>
      <c r="DC140" s="132">
        <f t="shared" si="121"/>
        <v>1078856437</v>
      </c>
      <c r="DD140" s="129">
        <f t="shared" ca="1" si="115"/>
        <v>0.54662386971599108</v>
      </c>
      <c r="DE140" s="126">
        <f t="shared" ref="DE140:EB140" ca="1" si="122">SUM(DE133:DE139)</f>
        <v>19997023435</v>
      </c>
      <c r="DF140" s="126">
        <f t="shared" ca="1" si="122"/>
        <v>674181193</v>
      </c>
      <c r="DG140" s="126">
        <f t="shared" si="122"/>
        <v>722147890</v>
      </c>
      <c r="DH140" s="126">
        <f t="shared" si="122"/>
        <v>29883260</v>
      </c>
      <c r="DI140" s="126">
        <f t="shared" si="122"/>
        <v>376904086</v>
      </c>
      <c r="DJ140" s="126">
        <f t="shared" si="122"/>
        <v>6856843769</v>
      </c>
      <c r="DK140" s="126">
        <f t="shared" si="122"/>
        <v>80283333</v>
      </c>
      <c r="DL140" s="126">
        <f t="shared" si="122"/>
        <v>0</v>
      </c>
      <c r="DM140" s="126">
        <f t="shared" si="122"/>
        <v>1312528169</v>
      </c>
      <c r="DN140" s="126">
        <f t="shared" si="122"/>
        <v>225153495</v>
      </c>
      <c r="DO140" s="126">
        <f t="shared" si="122"/>
        <v>198089784</v>
      </c>
      <c r="DP140" s="126">
        <f t="shared" si="122"/>
        <v>315999214</v>
      </c>
      <c r="DQ140" s="126">
        <f t="shared" si="122"/>
        <v>399271233</v>
      </c>
      <c r="DR140" s="126">
        <f t="shared" si="122"/>
        <v>101231112</v>
      </c>
      <c r="DS140" s="126">
        <f t="shared" si="122"/>
        <v>459603682</v>
      </c>
      <c r="DT140" s="126">
        <f t="shared" si="122"/>
        <v>183785326</v>
      </c>
      <c r="DU140" s="126">
        <f t="shared" si="122"/>
        <v>2429525566</v>
      </c>
      <c r="DV140" s="126">
        <f t="shared" si="122"/>
        <v>274567964</v>
      </c>
      <c r="DW140" s="126">
        <f t="shared" si="122"/>
        <v>928899554</v>
      </c>
      <c r="DX140" s="126">
        <f t="shared" si="122"/>
        <v>825804747</v>
      </c>
      <c r="DY140" s="126">
        <f t="shared" si="122"/>
        <v>1318957537</v>
      </c>
      <c r="DZ140" s="126">
        <f t="shared" si="122"/>
        <v>157450020</v>
      </c>
      <c r="EA140" s="126">
        <f t="shared" si="122"/>
        <v>642073157</v>
      </c>
      <c r="EB140" s="126">
        <f t="shared" si="122"/>
        <v>1483839344</v>
      </c>
      <c r="ED140" s="151" t="s">
        <v>391</v>
      </c>
      <c r="EE140" s="52">
        <v>4184492718</v>
      </c>
      <c r="EF140" s="52">
        <v>2104745694</v>
      </c>
      <c r="EG140" s="160">
        <f t="shared" ca="1" si="117"/>
        <v>0.50298706099934953</v>
      </c>
    </row>
    <row r="141" spans="1:139" ht="16.5" thickTop="1" x14ac:dyDescent="0.25">
      <c r="D141" s="135"/>
      <c r="E141" s="136"/>
      <c r="G141" s="136"/>
      <c r="J141" s="137" t="e">
        <f>+#REF!+#REF!-G193</f>
        <v>#REF!</v>
      </c>
      <c r="ED141" s="157" t="s">
        <v>41</v>
      </c>
      <c r="EE141" s="52">
        <f>EE134+EE135+EE136+EE137+EE138+EE139+EE140</f>
        <v>36582784878</v>
      </c>
      <c r="EF141" s="52">
        <f>EF134+EF135+EF136+EF137+EF138+EF139+EF140</f>
        <v>16585761443</v>
      </c>
      <c r="EG141" s="160">
        <f ca="1">+CE140</f>
        <v>0.45337613028400892</v>
      </c>
    </row>
    <row r="142" spans="1:139" ht="15.75" x14ac:dyDescent="0.25">
      <c r="D142" s="135"/>
      <c r="E142" s="136"/>
      <c r="G142" s="136"/>
      <c r="J142" s="137"/>
      <c r="ED142" s="157"/>
      <c r="EE142" s="52"/>
      <c r="EF142" s="52"/>
      <c r="EG142" s="160"/>
    </row>
    <row r="143" spans="1:139" ht="15.75" x14ac:dyDescent="0.25">
      <c r="D143" s="135"/>
      <c r="E143" s="136"/>
      <c r="G143" s="136"/>
      <c r="J143" s="137"/>
      <c r="ED143" s="157"/>
      <c r="EE143" s="52"/>
      <c r="EF143" s="52"/>
      <c r="EG143" s="160"/>
    </row>
    <row r="144" spans="1:139" ht="15.75" x14ac:dyDescent="0.25">
      <c r="D144" s="135"/>
      <c r="E144" s="136"/>
      <c r="G144" s="136"/>
      <c r="J144" s="137"/>
      <c r="ED144" s="157"/>
      <c r="EE144" s="52"/>
      <c r="EF144" s="52"/>
      <c r="EG144" s="160"/>
    </row>
    <row r="145" spans="4:137" ht="15.75" x14ac:dyDescent="0.25">
      <c r="D145" s="135"/>
      <c r="E145" s="136"/>
      <c r="G145" s="136"/>
      <c r="J145" s="137"/>
      <c r="ED145" s="157"/>
      <c r="EE145" s="52"/>
      <c r="EF145" s="52"/>
      <c r="EG145" s="160"/>
    </row>
    <row r="146" spans="4:137" ht="15.75" x14ac:dyDescent="0.25">
      <c r="D146" s="135"/>
      <c r="E146" s="136"/>
      <c r="G146" s="136"/>
      <c r="J146" s="137"/>
      <c r="ED146" s="157"/>
      <c r="EE146" s="52"/>
      <c r="EF146" s="52"/>
      <c r="EG146" s="160"/>
    </row>
    <row r="147" spans="4:137" ht="15.75" x14ac:dyDescent="0.25">
      <c r="D147" s="135"/>
      <c r="E147" s="136"/>
      <c r="G147" s="136"/>
      <c r="J147" s="137"/>
      <c r="ED147" s="157"/>
      <c r="EE147" s="52"/>
      <c r="EF147" s="52"/>
      <c r="EG147" s="160"/>
    </row>
    <row r="148" spans="4:137" ht="15.75" x14ac:dyDescent="0.25">
      <c r="D148" s="135"/>
      <c r="E148" s="136"/>
      <c r="G148" s="136"/>
      <c r="J148" s="137"/>
      <c r="ED148" s="157"/>
      <c r="EE148" s="52"/>
      <c r="EF148" s="52"/>
      <c r="EG148" s="160"/>
    </row>
    <row r="149" spans="4:137" ht="15.75" x14ac:dyDescent="0.25">
      <c r="D149" s="135"/>
      <c r="E149" s="136"/>
      <c r="G149" s="136"/>
      <c r="J149" s="137"/>
      <c r="ED149" s="157"/>
      <c r="EE149" s="52"/>
      <c r="EF149" s="52"/>
      <c r="EG149" s="160"/>
    </row>
    <row r="150" spans="4:137" ht="15.75" x14ac:dyDescent="0.25">
      <c r="D150" s="135"/>
      <c r="E150" s="136"/>
      <c r="G150" s="136"/>
      <c r="J150" s="137"/>
      <c r="ED150" s="157"/>
      <c r="EE150" s="52"/>
      <c r="EF150" s="52"/>
      <c r="EG150" s="160"/>
    </row>
    <row r="151" spans="4:137" ht="15.75" x14ac:dyDescent="0.25">
      <c r="D151" s="135"/>
      <c r="E151" s="136"/>
      <c r="G151" s="136"/>
      <c r="J151" s="137"/>
      <c r="ED151" s="157"/>
      <c r="EE151" s="52"/>
      <c r="EF151" s="52"/>
      <c r="EG151" s="160"/>
    </row>
    <row r="152" spans="4:137" ht="15.75" x14ac:dyDescent="0.25">
      <c r="D152" s="135"/>
      <c r="E152" s="136"/>
      <c r="G152" s="136"/>
      <c r="J152" s="137"/>
      <c r="ED152" s="157"/>
      <c r="EE152" s="52"/>
      <c r="EF152" s="52"/>
      <c r="EG152" s="160"/>
    </row>
    <row r="153" spans="4:137" ht="15.75" x14ac:dyDescent="0.25">
      <c r="D153" s="135"/>
      <c r="E153" s="136"/>
      <c r="G153" s="136"/>
      <c r="J153" s="137"/>
      <c r="ED153" s="157"/>
      <c r="EE153" s="52"/>
      <c r="EF153" s="52"/>
      <c r="EG153" s="160"/>
    </row>
    <row r="154" spans="4:137" ht="15.75" x14ac:dyDescent="0.25">
      <c r="D154" s="135"/>
      <c r="E154" s="136"/>
      <c r="G154" s="136"/>
      <c r="J154" s="137"/>
      <c r="ED154" s="157"/>
      <c r="EE154" s="52"/>
      <c r="EF154" s="52"/>
      <c r="EG154" s="160"/>
    </row>
    <row r="155" spans="4:137" ht="15.75" x14ac:dyDescent="0.25">
      <c r="D155" s="135"/>
      <c r="E155" s="136"/>
      <c r="G155" s="136"/>
      <c r="J155" s="137"/>
      <c r="ED155" s="157"/>
      <c r="EE155" s="52"/>
      <c r="EF155" s="52"/>
      <c r="EG155" s="160"/>
    </row>
    <row r="156" spans="4:137" ht="15.75" x14ac:dyDescent="0.25">
      <c r="D156" s="135"/>
      <c r="E156" s="136"/>
      <c r="G156" s="136"/>
      <c r="J156" s="137"/>
      <c r="ED156" s="157"/>
      <c r="EE156" s="52"/>
      <c r="EF156" s="52"/>
      <c r="EG156" s="160"/>
    </row>
    <row r="157" spans="4:137" ht="15.75" x14ac:dyDescent="0.25">
      <c r="D157" s="135"/>
      <c r="E157" s="136"/>
      <c r="G157" s="136"/>
      <c r="J157" s="137"/>
      <c r="ED157" s="157"/>
      <c r="EE157" s="52"/>
      <c r="EF157" s="52"/>
      <c r="EG157" s="160"/>
    </row>
    <row r="158" spans="4:137" ht="15.75" x14ac:dyDescent="0.25">
      <c r="D158" s="135"/>
      <c r="E158" s="136"/>
      <c r="G158" s="136"/>
      <c r="J158" s="137"/>
      <c r="ED158" s="157"/>
      <c r="EE158" s="52"/>
      <c r="EF158" s="52"/>
      <c r="EG158" s="160"/>
    </row>
    <row r="159" spans="4:137" ht="15.75" x14ac:dyDescent="0.25">
      <c r="D159" s="135"/>
      <c r="E159" s="136"/>
      <c r="G159" s="136"/>
      <c r="J159" s="137"/>
      <c r="ED159" s="157"/>
      <c r="EE159" s="52"/>
      <c r="EF159" s="52"/>
      <c r="EG159" s="160"/>
    </row>
    <row r="160" spans="4:137" ht="15.75" x14ac:dyDescent="0.25">
      <c r="D160" s="135"/>
      <c r="E160" s="136"/>
      <c r="G160" s="136"/>
      <c r="J160" s="137"/>
      <c r="ED160" s="157"/>
      <c r="EE160" s="52"/>
      <c r="EF160" s="52"/>
      <c r="EG160" s="160"/>
    </row>
    <row r="161" spans="4:137" ht="15.75" x14ac:dyDescent="0.25">
      <c r="D161" s="135"/>
      <c r="E161" s="136"/>
      <c r="G161" s="136"/>
      <c r="J161" s="137"/>
      <c r="ED161" s="157"/>
      <c r="EE161" s="52"/>
      <c r="EF161" s="52"/>
      <c r="EG161" s="160"/>
    </row>
    <row r="162" spans="4:137" ht="15.75" x14ac:dyDescent="0.25">
      <c r="D162" s="135"/>
      <c r="E162" s="136"/>
      <c r="G162" s="136"/>
      <c r="J162" s="137"/>
      <c r="ED162" s="157"/>
      <c r="EE162" s="52"/>
      <c r="EF162" s="52"/>
      <c r="EG162" s="160"/>
    </row>
    <row r="163" spans="4:137" ht="15.75" x14ac:dyDescent="0.25">
      <c r="D163" s="135"/>
      <c r="E163" s="136"/>
      <c r="G163" s="136"/>
      <c r="J163" s="137"/>
      <c r="ED163" s="157"/>
      <c r="EE163" s="52"/>
      <c r="EF163" s="52"/>
      <c r="EG163" s="160"/>
    </row>
    <row r="164" spans="4:137" ht="15.75" x14ac:dyDescent="0.25">
      <c r="D164" s="135"/>
      <c r="E164" s="136"/>
      <c r="G164" s="136"/>
      <c r="J164" s="137"/>
      <c r="ED164" s="157"/>
      <c r="EE164" s="52"/>
      <c r="EF164" s="52"/>
      <c r="EG164" s="160"/>
    </row>
    <row r="165" spans="4:137" ht="15.75" x14ac:dyDescent="0.25">
      <c r="D165" s="135"/>
      <c r="E165" s="136"/>
      <c r="G165" s="136"/>
      <c r="J165" s="137"/>
      <c r="ED165" s="157"/>
      <c r="EE165" s="52"/>
      <c r="EF165" s="52"/>
      <c r="EG165" s="160"/>
    </row>
    <row r="166" spans="4:137" ht="15.75" x14ac:dyDescent="0.25">
      <c r="D166" s="135"/>
      <c r="E166" s="136"/>
      <c r="G166" s="136"/>
      <c r="J166" s="137"/>
      <c r="ED166" s="157"/>
      <c r="EE166" s="52"/>
      <c r="EF166" s="52"/>
      <c r="EG166" s="160"/>
    </row>
    <row r="167" spans="4:137" ht="15.75" x14ac:dyDescent="0.25">
      <c r="D167" s="135"/>
      <c r="E167" s="136"/>
      <c r="G167" s="136"/>
      <c r="J167" s="137"/>
      <c r="ED167" s="157"/>
      <c r="EE167" s="52"/>
      <c r="EF167" s="52"/>
      <c r="EG167" s="160"/>
    </row>
    <row r="168" spans="4:137" ht="15.75" x14ac:dyDescent="0.25">
      <c r="D168" s="135"/>
      <c r="E168" s="136"/>
      <c r="G168" s="136"/>
      <c r="J168" s="137"/>
      <c r="ED168" s="157"/>
      <c r="EE168" s="52"/>
      <c r="EF168" s="52"/>
      <c r="EG168" s="160"/>
    </row>
    <row r="169" spans="4:137" ht="15.75" x14ac:dyDescent="0.25">
      <c r="D169" s="135"/>
      <c r="E169" s="136"/>
      <c r="G169" s="136"/>
      <c r="J169" s="137"/>
      <c r="ED169" s="157"/>
      <c r="EE169" s="52"/>
      <c r="EF169" s="52"/>
      <c r="EG169" s="160"/>
    </row>
    <row r="170" spans="4:137" ht="15.75" x14ac:dyDescent="0.25">
      <c r="D170" s="135"/>
      <c r="E170" s="136"/>
      <c r="G170" s="136"/>
      <c r="J170" s="137"/>
      <c r="ED170" s="157"/>
      <c r="EE170" s="52"/>
      <c r="EF170" s="52"/>
      <c r="EG170" s="160"/>
    </row>
    <row r="171" spans="4:137" ht="15.75" x14ac:dyDescent="0.25">
      <c r="D171" s="135"/>
      <c r="E171" s="136"/>
      <c r="G171" s="136"/>
      <c r="J171" s="137"/>
      <c r="ED171" s="157"/>
      <c r="EE171" s="52"/>
      <c r="EF171" s="52"/>
      <c r="EG171" s="160"/>
    </row>
    <row r="172" spans="4:137" ht="15.75" x14ac:dyDescent="0.25">
      <c r="D172" s="135"/>
      <c r="E172" s="136"/>
      <c r="G172" s="136"/>
      <c r="J172" s="137"/>
      <c r="ED172" s="157"/>
      <c r="EE172" s="52"/>
      <c r="EF172" s="52"/>
      <c r="EG172" s="160"/>
    </row>
    <row r="173" spans="4:137" ht="15.75" x14ac:dyDescent="0.25">
      <c r="D173" s="135"/>
      <c r="E173" s="136"/>
      <c r="G173" s="136"/>
      <c r="J173" s="137"/>
      <c r="ED173" s="157"/>
      <c r="EE173" s="52"/>
      <c r="EF173" s="52"/>
      <c r="EG173" s="160"/>
    </row>
    <row r="174" spans="4:137" ht="15.75" x14ac:dyDescent="0.25">
      <c r="D174" s="135"/>
      <c r="E174" s="136"/>
      <c r="G174" s="136"/>
      <c r="J174" s="137"/>
      <c r="ED174" s="157"/>
      <c r="EE174" s="52"/>
      <c r="EF174" s="52"/>
      <c r="EG174" s="160"/>
    </row>
    <row r="175" spans="4:137" ht="15.75" x14ac:dyDescent="0.25">
      <c r="D175" s="135"/>
      <c r="E175" s="136"/>
      <c r="G175" s="136"/>
      <c r="J175" s="137"/>
      <c r="ED175" s="157"/>
      <c r="EE175" s="52"/>
      <c r="EF175" s="52"/>
      <c r="EG175" s="160"/>
    </row>
    <row r="176" spans="4:137" ht="15.75" x14ac:dyDescent="0.25">
      <c r="D176" s="135"/>
      <c r="E176" s="136"/>
      <c r="G176" s="136"/>
      <c r="J176" s="137"/>
      <c r="ED176" s="157"/>
      <c r="EE176" s="52"/>
      <c r="EF176" s="52"/>
      <c r="EG176" s="160"/>
    </row>
    <row r="177" spans="4:137" ht="15.75" x14ac:dyDescent="0.25">
      <c r="D177" s="135"/>
      <c r="E177" s="136"/>
      <c r="G177" s="136"/>
      <c r="J177" s="137"/>
      <c r="ED177" s="157"/>
      <c r="EE177" s="52"/>
      <c r="EF177" s="52"/>
      <c r="EG177" s="160"/>
    </row>
    <row r="178" spans="4:137" ht="15.75" x14ac:dyDescent="0.25">
      <c r="D178" s="135"/>
      <c r="E178" s="136"/>
      <c r="G178" s="136"/>
      <c r="J178" s="137"/>
      <c r="ED178" s="157"/>
      <c r="EE178" s="52"/>
      <c r="EF178" s="52"/>
      <c r="EG178" s="160"/>
    </row>
    <row r="179" spans="4:137" ht="15.75" x14ac:dyDescent="0.25">
      <c r="D179" s="135"/>
      <c r="E179" s="136"/>
      <c r="G179" s="136"/>
      <c r="J179" s="137"/>
      <c r="ED179" s="157"/>
      <c r="EE179" s="52"/>
      <c r="EF179" s="52"/>
      <c r="EG179" s="160"/>
    </row>
    <row r="180" spans="4:137" ht="15.75" x14ac:dyDescent="0.25">
      <c r="D180" s="135"/>
      <c r="E180" s="136"/>
      <c r="G180" s="136"/>
      <c r="J180" s="137"/>
      <c r="ED180" s="157"/>
      <c r="EE180" s="52"/>
      <c r="EF180" s="52"/>
      <c r="EG180" s="160"/>
    </row>
    <row r="181" spans="4:137" ht="15.75" x14ac:dyDescent="0.25">
      <c r="D181" s="135"/>
      <c r="E181" s="136"/>
      <c r="G181" s="136"/>
      <c r="J181" s="137"/>
      <c r="ED181" s="157"/>
      <c r="EE181" s="52"/>
      <c r="EF181" s="52"/>
      <c r="EG181" s="160"/>
    </row>
    <row r="182" spans="4:137" ht="15.75" x14ac:dyDescent="0.25">
      <c r="D182" s="135"/>
      <c r="E182" s="136"/>
      <c r="G182" s="136"/>
      <c r="J182" s="137"/>
      <c r="ED182" s="157"/>
      <c r="EE182" s="52"/>
      <c r="EF182" s="52"/>
      <c r="EG182" s="160"/>
    </row>
    <row r="183" spans="4:137" ht="15.75" x14ac:dyDescent="0.25">
      <c r="D183" s="135"/>
      <c r="E183" s="136"/>
      <c r="G183" s="136"/>
      <c r="J183" s="137"/>
      <c r="ED183" s="157"/>
      <c r="EE183" s="52"/>
      <c r="EF183" s="52"/>
      <c r="EG183" s="160"/>
    </row>
    <row r="184" spans="4:137" ht="15.75" x14ac:dyDescent="0.25">
      <c r="D184" s="135"/>
      <c r="E184" s="136"/>
      <c r="G184" s="136"/>
      <c r="J184" s="137"/>
      <c r="ED184" s="157"/>
      <c r="EE184" s="52"/>
      <c r="EF184" s="52"/>
      <c r="EG184" s="160"/>
    </row>
    <row r="185" spans="4:137" ht="15.75" x14ac:dyDescent="0.25">
      <c r="D185" s="135"/>
      <c r="E185" s="136"/>
      <c r="G185" s="136"/>
      <c r="J185" s="137"/>
      <c r="ED185" s="157"/>
      <c r="EE185" s="52"/>
      <c r="EF185" s="52"/>
      <c r="EG185" s="160"/>
    </row>
    <row r="186" spans="4:137" ht="15.75" x14ac:dyDescent="0.25">
      <c r="D186" s="135"/>
      <c r="E186" s="136"/>
      <c r="G186" s="136"/>
      <c r="J186" s="137"/>
      <c r="ED186" s="157"/>
      <c r="EE186" s="52"/>
      <c r="EF186" s="52"/>
      <c r="EG186" s="160"/>
    </row>
    <row r="187" spans="4:137" ht="15.75" x14ac:dyDescent="0.25">
      <c r="D187" s="135"/>
      <c r="E187" s="136"/>
      <c r="G187" s="136"/>
      <c r="J187" s="137"/>
      <c r="ED187" s="157"/>
      <c r="EE187" s="52"/>
      <c r="EF187" s="52"/>
      <c r="EG187" s="160"/>
    </row>
    <row r="188" spans="4:137" ht="15.75" x14ac:dyDescent="0.25">
      <c r="D188" s="135"/>
      <c r="E188" s="136"/>
      <c r="G188" s="136"/>
      <c r="J188" s="137"/>
      <c r="ED188" s="157"/>
      <c r="EE188" s="52"/>
      <c r="EF188" s="52"/>
      <c r="EG188" s="160"/>
    </row>
    <row r="189" spans="4:137" ht="15.75" x14ac:dyDescent="0.25">
      <c r="D189" s="135"/>
      <c r="E189" s="136"/>
      <c r="G189" s="136"/>
      <c r="J189" s="137"/>
      <c r="ED189" s="157"/>
      <c r="EE189" s="52"/>
      <c r="EF189" s="52"/>
      <c r="EG189" s="160"/>
    </row>
    <row r="190" spans="4:137" ht="15.75" x14ac:dyDescent="0.25">
      <c r="D190" s="135"/>
      <c r="E190" s="136"/>
      <c r="G190" s="136"/>
      <c r="J190" s="137"/>
      <c r="ED190" s="157"/>
      <c r="EE190" s="52"/>
      <c r="EF190" s="52"/>
      <c r="EG190" s="160"/>
    </row>
    <row r="191" spans="4:137" ht="15.75" x14ac:dyDescent="0.25">
      <c r="D191" s="135"/>
      <c r="E191" s="136"/>
      <c r="G191" s="136"/>
      <c r="J191" s="137"/>
      <c r="ED191" s="157"/>
      <c r="EE191" s="52"/>
      <c r="EF191" s="52"/>
      <c r="EG191" s="160"/>
    </row>
    <row r="192" spans="4:137" ht="15.75" x14ac:dyDescent="0.25">
      <c r="D192" s="135"/>
      <c r="E192" s="136"/>
      <c r="G192" s="136"/>
    </row>
    <row r="193" spans="4:59" ht="15.75" x14ac:dyDescent="0.25">
      <c r="D193" s="138"/>
      <c r="E193" s="134"/>
      <c r="G193" s="262" t="s">
        <v>403</v>
      </c>
      <c r="H193" s="263"/>
      <c r="I193" s="263"/>
      <c r="J193" s="263"/>
      <c r="K193" s="263"/>
      <c r="L193" s="263"/>
      <c r="M193" s="263"/>
      <c r="N193" s="263"/>
      <c r="O193" s="263"/>
      <c r="P193" s="263"/>
      <c r="Q193" s="263"/>
      <c r="R193" s="263"/>
      <c r="S193" s="263"/>
      <c r="T193" s="263"/>
      <c r="U193" s="263"/>
      <c r="V193" s="263"/>
      <c r="W193" s="263"/>
      <c r="X193" s="263"/>
      <c r="Y193" s="263"/>
      <c r="Z193" s="263"/>
      <c r="AA193" s="263"/>
      <c r="AB193" s="263"/>
      <c r="AC193" s="263"/>
      <c r="AD193" s="263"/>
      <c r="AE193" s="263"/>
      <c r="AF193" s="263"/>
      <c r="AG193" s="263"/>
      <c r="AH193" s="263"/>
      <c r="AI193" s="263"/>
      <c r="AJ193" s="263"/>
      <c r="AK193" s="263"/>
      <c r="AL193" s="263"/>
      <c r="AM193" s="263"/>
      <c r="AN193" s="263"/>
      <c r="AO193" s="263"/>
      <c r="AP193" s="263"/>
      <c r="AQ193" s="263"/>
      <c r="AR193" s="263"/>
      <c r="AS193" s="263"/>
      <c r="AT193" s="263"/>
      <c r="AU193" s="263"/>
      <c r="AV193" s="263"/>
      <c r="AW193" s="263"/>
      <c r="AX193" s="263"/>
      <c r="AY193" s="263"/>
      <c r="AZ193" s="263"/>
      <c r="BA193" s="263"/>
      <c r="BB193" s="263"/>
      <c r="BC193" s="263"/>
      <c r="BD193" s="263"/>
      <c r="BE193" s="263"/>
      <c r="BF193" s="263"/>
      <c r="BG193" s="263"/>
    </row>
    <row r="194" spans="4:59" ht="51" x14ac:dyDescent="0.25">
      <c r="D194" s="135"/>
      <c r="E194" s="136"/>
      <c r="G194" s="161" t="s">
        <v>5</v>
      </c>
      <c r="H194" s="161" t="s">
        <v>394</v>
      </c>
      <c r="I194" s="161"/>
      <c r="J194" s="161" t="s">
        <v>395</v>
      </c>
      <c r="K194" s="161"/>
      <c r="L194" s="161"/>
      <c r="M194" s="161"/>
      <c r="N194" s="161"/>
      <c r="O194" s="161"/>
      <c r="P194" s="161" t="s">
        <v>396</v>
      </c>
      <c r="Q194" s="161"/>
      <c r="R194" s="161"/>
      <c r="S194" s="161"/>
      <c r="T194" s="161"/>
      <c r="U194" s="161"/>
      <c r="V194" s="161"/>
      <c r="W194" s="161"/>
      <c r="X194" s="161"/>
      <c r="Y194" s="161"/>
      <c r="Z194" s="161"/>
      <c r="AA194" s="161" t="s">
        <v>397</v>
      </c>
      <c r="AB194" s="161" t="s">
        <v>396</v>
      </c>
      <c r="AC194" s="161" t="s">
        <v>398</v>
      </c>
      <c r="AD194" s="161"/>
      <c r="AE194" s="161"/>
      <c r="AF194" s="161" t="s">
        <v>399</v>
      </c>
      <c r="AG194" s="161" t="s">
        <v>394</v>
      </c>
      <c r="AH194" s="161" t="s">
        <v>404</v>
      </c>
      <c r="AI194" s="161" t="s">
        <v>400</v>
      </c>
      <c r="AJ194" s="161"/>
      <c r="AK194" s="161"/>
      <c r="AL194" s="161"/>
      <c r="AM194" s="161"/>
      <c r="AN194" s="161"/>
      <c r="AO194" s="161"/>
      <c r="AP194" s="161"/>
      <c r="AQ194" s="161"/>
      <c r="AR194" s="161"/>
      <c r="AS194" s="161"/>
      <c r="AT194" s="161"/>
      <c r="AU194" s="161"/>
      <c r="AV194" s="161"/>
      <c r="AW194" s="161"/>
      <c r="AX194" s="161"/>
      <c r="AY194" s="161"/>
      <c r="AZ194" s="161"/>
      <c r="BA194" s="161"/>
      <c r="BB194" s="161"/>
      <c r="BC194" s="161"/>
      <c r="BD194" s="161"/>
      <c r="BE194" s="161"/>
      <c r="BF194" s="161" t="s">
        <v>405</v>
      </c>
      <c r="BG194" s="161" t="s">
        <v>400</v>
      </c>
    </row>
    <row r="195" spans="4:59" ht="15.75" x14ac:dyDescent="0.25">
      <c r="D195" s="139"/>
      <c r="E195" s="140"/>
      <c r="G195" s="162" t="s">
        <v>46</v>
      </c>
      <c r="H195" s="163">
        <v>1900646157</v>
      </c>
      <c r="I195" s="164"/>
      <c r="J195" s="163" t="e">
        <f>+#REF!-H195</f>
        <v>#REF!</v>
      </c>
      <c r="K195" s="162"/>
      <c r="L195" s="162"/>
      <c r="M195" s="162"/>
      <c r="N195" s="162"/>
      <c r="O195" s="162"/>
      <c r="P195" s="165"/>
      <c r="Q195" s="162"/>
      <c r="R195" s="162"/>
      <c r="S195" s="162"/>
      <c r="T195" s="162"/>
      <c r="U195" s="162"/>
      <c r="V195" s="162"/>
      <c r="W195" s="162"/>
      <c r="X195" s="162"/>
      <c r="Y195" s="162"/>
      <c r="Z195" s="162"/>
      <c r="AA195" s="166"/>
      <c r="AB195" s="165"/>
      <c r="AC195" s="167"/>
      <c r="AD195" s="168"/>
      <c r="AE195" s="168"/>
      <c r="AF195" s="169" t="e">
        <f>+H195+J195</f>
        <v>#REF!</v>
      </c>
      <c r="AG195" s="170">
        <v>766350469</v>
      </c>
      <c r="AH195" s="171">
        <f>+CF24-AG195</f>
        <v>81116330</v>
      </c>
      <c r="AI195" s="172">
        <v>0.58179999999999998</v>
      </c>
      <c r="AJ195" s="173"/>
      <c r="AK195" s="173"/>
      <c r="AL195" s="173"/>
      <c r="AM195" s="173"/>
      <c r="AN195" s="173"/>
      <c r="AO195" s="173"/>
      <c r="AP195" s="173"/>
      <c r="AQ195" s="173"/>
      <c r="AR195" s="173"/>
      <c r="AS195" s="173"/>
      <c r="AT195" s="173"/>
      <c r="AU195" s="173"/>
      <c r="AV195" s="173"/>
      <c r="AW195" s="173"/>
      <c r="AX195" s="173"/>
      <c r="AY195" s="173"/>
      <c r="AZ195" s="173"/>
      <c r="BA195" s="173"/>
      <c r="BB195" s="173"/>
      <c r="BC195" s="173"/>
      <c r="BD195" s="173"/>
      <c r="BE195" s="173"/>
      <c r="BF195" s="171">
        <f>AG195+AH195</f>
        <v>847466799</v>
      </c>
      <c r="BG195" s="172">
        <f>+CE24</f>
        <v>0.43103190126263313</v>
      </c>
    </row>
    <row r="196" spans="4:59" ht="15.75" x14ac:dyDescent="0.25">
      <c r="D196" s="141"/>
      <c r="E196" s="134"/>
      <c r="G196" s="162" t="s">
        <v>99</v>
      </c>
      <c r="H196" s="163">
        <v>3003109701</v>
      </c>
      <c r="I196" s="164"/>
      <c r="J196" s="163">
        <f>+AI19-H196</f>
        <v>-3003109701</v>
      </c>
      <c r="K196" s="162"/>
      <c r="L196" s="162"/>
      <c r="M196" s="162"/>
      <c r="N196" s="162"/>
      <c r="O196" s="162"/>
      <c r="P196" s="165"/>
      <c r="Q196" s="162"/>
      <c r="R196" s="162"/>
      <c r="S196" s="162"/>
      <c r="T196" s="162"/>
      <c r="U196" s="162"/>
      <c r="V196" s="162"/>
      <c r="W196" s="162"/>
      <c r="X196" s="162"/>
      <c r="Y196" s="162"/>
      <c r="Z196" s="162"/>
      <c r="AA196" s="166"/>
      <c r="AB196" s="165"/>
      <c r="AC196" s="167"/>
      <c r="AD196" s="168"/>
      <c r="AE196" s="168"/>
      <c r="AF196" s="169">
        <f>+H196+J196</f>
        <v>0</v>
      </c>
      <c r="AG196" s="170">
        <v>3594560305</v>
      </c>
      <c r="AH196" s="171">
        <f>+CF50-AG196</f>
        <v>644878490</v>
      </c>
      <c r="AI196" s="172">
        <v>0.42409999999999998</v>
      </c>
      <c r="AJ196" s="173"/>
      <c r="AK196" s="173"/>
      <c r="AL196" s="173"/>
      <c r="AM196" s="173"/>
      <c r="AN196" s="173"/>
      <c r="AO196" s="173"/>
      <c r="AP196" s="173"/>
      <c r="AQ196" s="173"/>
      <c r="AR196" s="173"/>
      <c r="AS196" s="173"/>
      <c r="AT196" s="173"/>
      <c r="AU196" s="173"/>
      <c r="AV196" s="173"/>
      <c r="AW196" s="173"/>
      <c r="AX196" s="173"/>
      <c r="AY196" s="173"/>
      <c r="AZ196" s="173"/>
      <c r="BA196" s="173"/>
      <c r="BB196" s="173"/>
      <c r="BC196" s="173"/>
      <c r="BD196" s="173"/>
      <c r="BE196" s="173"/>
      <c r="BF196" s="171">
        <f t="shared" ref="BF196:BF199" si="123">AG196+AH196</f>
        <v>4239438795</v>
      </c>
      <c r="BG196" s="172">
        <f>+CE50</f>
        <v>0.55515217843333597</v>
      </c>
    </row>
    <row r="197" spans="4:59" ht="15.75" x14ac:dyDescent="0.25">
      <c r="D197" s="142"/>
      <c r="E197" s="143"/>
      <c r="G197" s="162" t="s">
        <v>401</v>
      </c>
      <c r="H197" s="163">
        <v>2612398443</v>
      </c>
      <c r="I197" s="164"/>
      <c r="J197" s="163">
        <f>+AI43-H197</f>
        <v>-2612398443</v>
      </c>
      <c r="K197" s="162"/>
      <c r="L197" s="162"/>
      <c r="M197" s="162"/>
      <c r="N197" s="162"/>
      <c r="O197" s="162"/>
      <c r="P197" s="165"/>
      <c r="Q197" s="162"/>
      <c r="R197" s="162"/>
      <c r="S197" s="162"/>
      <c r="T197" s="162"/>
      <c r="U197" s="162"/>
      <c r="V197" s="162"/>
      <c r="W197" s="162"/>
      <c r="X197" s="162"/>
      <c r="Y197" s="162"/>
      <c r="Z197" s="162"/>
      <c r="AA197" s="166"/>
      <c r="AB197" s="165"/>
      <c r="AC197" s="167"/>
      <c r="AD197" s="168"/>
      <c r="AE197" s="168"/>
      <c r="AF197" s="169">
        <f>+H197+J197</f>
        <v>0</v>
      </c>
      <c r="AG197" s="170">
        <v>1758358443</v>
      </c>
      <c r="AH197" s="171">
        <f>+CF77-AG197</f>
        <v>346387251</v>
      </c>
      <c r="AI197" s="172">
        <v>0.62250000000000005</v>
      </c>
      <c r="AJ197" s="173"/>
      <c r="AK197" s="173"/>
      <c r="AL197" s="173"/>
      <c r="AM197" s="173"/>
      <c r="AN197" s="173"/>
      <c r="AO197" s="173"/>
      <c r="AP197" s="173"/>
      <c r="AQ197" s="173"/>
      <c r="AR197" s="173"/>
      <c r="AS197" s="173"/>
      <c r="AT197" s="173"/>
      <c r="AU197" s="173"/>
      <c r="AV197" s="173"/>
      <c r="AW197" s="173"/>
      <c r="AX197" s="173"/>
      <c r="AY197" s="173"/>
      <c r="AZ197" s="173"/>
      <c r="BA197" s="173"/>
      <c r="BB197" s="173"/>
      <c r="BC197" s="173"/>
      <c r="BD197" s="173"/>
      <c r="BE197" s="173"/>
      <c r="BF197" s="171">
        <f t="shared" si="123"/>
        <v>2104745694</v>
      </c>
      <c r="BG197" s="172">
        <f>+CE77</f>
        <v>0.50298706099934953</v>
      </c>
    </row>
    <row r="198" spans="4:59" ht="15.75" x14ac:dyDescent="0.25">
      <c r="D198" s="142"/>
      <c r="E198" s="136"/>
      <c r="G198" s="162" t="s">
        <v>402</v>
      </c>
      <c r="H198" s="163">
        <v>2724491493</v>
      </c>
      <c r="I198" s="164"/>
      <c r="J198" s="163">
        <f>+AI60-H198</f>
        <v>-2724491493</v>
      </c>
      <c r="K198" s="162"/>
      <c r="L198" s="162"/>
      <c r="M198" s="162"/>
      <c r="N198" s="162"/>
      <c r="O198" s="162"/>
      <c r="P198" s="165"/>
      <c r="Q198" s="162"/>
      <c r="R198" s="162"/>
      <c r="S198" s="162"/>
      <c r="T198" s="162"/>
      <c r="U198" s="162"/>
      <c r="V198" s="162"/>
      <c r="W198" s="162"/>
      <c r="X198" s="162"/>
      <c r="Y198" s="162"/>
      <c r="Z198" s="162"/>
      <c r="AA198" s="166"/>
      <c r="AB198" s="165"/>
      <c r="AC198" s="167"/>
      <c r="AD198" s="168"/>
      <c r="AE198" s="168"/>
      <c r="AF198" s="169">
        <f>+H198+J198</f>
        <v>0</v>
      </c>
      <c r="AG198" s="170">
        <v>1864831439</v>
      </c>
      <c r="AH198" s="171">
        <f>+CF97-AG198</f>
        <v>-234324376</v>
      </c>
      <c r="AI198" s="172">
        <v>0.78080000000000005</v>
      </c>
      <c r="AJ198" s="173"/>
      <c r="AK198" s="173"/>
      <c r="AL198" s="173"/>
      <c r="AM198" s="173"/>
      <c r="AN198" s="173"/>
      <c r="AO198" s="173"/>
      <c r="AP198" s="173"/>
      <c r="AQ198" s="173"/>
      <c r="AR198" s="173"/>
      <c r="AS198" s="173"/>
      <c r="AT198" s="173"/>
      <c r="AU198" s="173"/>
      <c r="AV198" s="173"/>
      <c r="AW198" s="173"/>
      <c r="AX198" s="173"/>
      <c r="AY198" s="173"/>
      <c r="AZ198" s="173"/>
      <c r="BA198" s="173"/>
      <c r="BB198" s="173"/>
      <c r="BC198" s="173"/>
      <c r="BD198" s="173"/>
      <c r="BE198" s="173"/>
      <c r="BF198" s="171">
        <f t="shared" si="123"/>
        <v>1630507063</v>
      </c>
      <c r="BG198" s="172">
        <f>+CE97</f>
        <v>0.41875001313644306</v>
      </c>
    </row>
    <row r="199" spans="4:59" ht="15.75" x14ac:dyDescent="0.25">
      <c r="D199" s="142"/>
      <c r="E199" s="136"/>
      <c r="G199" s="174" t="s">
        <v>311</v>
      </c>
      <c r="H199" s="175">
        <v>5405496505</v>
      </c>
      <c r="I199" s="176"/>
      <c r="J199" s="175">
        <f>+AI81-H199</f>
        <v>-5405496505</v>
      </c>
      <c r="K199" s="174"/>
      <c r="L199" s="174"/>
      <c r="M199" s="174"/>
      <c r="N199" s="174"/>
      <c r="O199" s="174"/>
      <c r="P199" s="177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  <c r="AA199" s="178"/>
      <c r="AB199" s="177"/>
      <c r="AC199" s="179"/>
      <c r="AD199" s="180"/>
      <c r="AE199" s="180"/>
      <c r="AF199" s="181">
        <f>+H199+J199</f>
        <v>0</v>
      </c>
      <c r="AG199" s="170">
        <v>6929504518</v>
      </c>
      <c r="AH199" s="171">
        <f>+CF129-AG199</f>
        <v>834098574</v>
      </c>
      <c r="AI199" s="182">
        <v>0.2888</v>
      </c>
      <c r="AJ199" s="173"/>
      <c r="AK199" s="173"/>
      <c r="AL199" s="173"/>
      <c r="AM199" s="173"/>
      <c r="AN199" s="173"/>
      <c r="AO199" s="173"/>
      <c r="AP199" s="173"/>
      <c r="AQ199" s="173"/>
      <c r="AR199" s="173"/>
      <c r="AS199" s="173"/>
      <c r="AT199" s="173"/>
      <c r="AU199" s="173"/>
      <c r="AV199" s="173"/>
      <c r="AW199" s="173"/>
      <c r="AX199" s="173"/>
      <c r="AY199" s="173"/>
      <c r="AZ199" s="173"/>
      <c r="BA199" s="173"/>
      <c r="BB199" s="173"/>
      <c r="BC199" s="173"/>
      <c r="BD199" s="173"/>
      <c r="BE199" s="173"/>
      <c r="BF199" s="171">
        <f t="shared" si="123"/>
        <v>7763603092</v>
      </c>
      <c r="BG199" s="182">
        <f>+CE129</f>
        <v>0.41073190824250327</v>
      </c>
    </row>
    <row r="200" spans="4:59" ht="16.5" thickBot="1" x14ac:dyDescent="0.3">
      <c r="D200" s="142"/>
      <c r="E200" s="136"/>
      <c r="G200" s="183" t="s">
        <v>41</v>
      </c>
      <c r="H200" s="124"/>
      <c r="I200" s="124"/>
      <c r="J200" s="124"/>
      <c r="K200" s="124"/>
      <c r="L200" s="124"/>
      <c r="M200" s="124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  <c r="AA200" s="124"/>
      <c r="AB200" s="124"/>
      <c r="AC200" s="124"/>
      <c r="AD200" s="124"/>
      <c r="AE200" s="124"/>
      <c r="AF200" s="124"/>
      <c r="AG200" s="184">
        <v>14913605174</v>
      </c>
      <c r="AH200" s="184">
        <f>+AH195+AH196+AH197+AH198+AH199</f>
        <v>1672156269</v>
      </c>
      <c r="AI200" s="184">
        <f t="shared" ref="AI200:BE200" si="124">+CG134-AH200</f>
        <v>-1305343488</v>
      </c>
      <c r="AJ200" s="184">
        <f t="shared" si="124"/>
        <v>1830223817</v>
      </c>
      <c r="AK200" s="184">
        <f t="shared" si="124"/>
        <v>-1830223817</v>
      </c>
      <c r="AL200" s="184">
        <f t="shared" si="124"/>
        <v>1830223817</v>
      </c>
      <c r="AM200" s="184">
        <f t="shared" si="124"/>
        <v>-1830223817</v>
      </c>
      <c r="AN200" s="184">
        <f t="shared" si="124"/>
        <v>1830223817</v>
      </c>
      <c r="AO200" s="184">
        <f t="shared" si="124"/>
        <v>-1565066026</v>
      </c>
      <c r="AP200" s="184">
        <f t="shared" si="124"/>
        <v>1565066026</v>
      </c>
      <c r="AQ200" s="184">
        <f t="shared" si="124"/>
        <v>-1284945848</v>
      </c>
      <c r="AR200" s="184">
        <f t="shared" si="124"/>
        <v>1462849779</v>
      </c>
      <c r="AS200" s="184">
        <f t="shared" si="124"/>
        <v>-1403847733</v>
      </c>
      <c r="AT200" s="184">
        <f t="shared" si="124"/>
        <v>1466782285</v>
      </c>
      <c r="AU200" s="184">
        <f t="shared" si="124"/>
        <v>-1466782285</v>
      </c>
      <c r="AV200" s="184">
        <f t="shared" si="124"/>
        <v>1466782285</v>
      </c>
      <c r="AW200" s="184">
        <f t="shared" si="124"/>
        <v>-1466782285</v>
      </c>
      <c r="AX200" s="184">
        <f t="shared" si="124"/>
        <v>1579785178</v>
      </c>
      <c r="AY200" s="184">
        <f t="shared" si="124"/>
        <v>-1579785178</v>
      </c>
      <c r="AZ200" s="184">
        <f t="shared" si="124"/>
        <v>2453144947</v>
      </c>
      <c r="BA200" s="184">
        <f t="shared" si="124"/>
        <v>-2369238408</v>
      </c>
      <c r="BB200" s="184">
        <f t="shared" si="124"/>
        <v>2369238408</v>
      </c>
      <c r="BC200" s="184">
        <f t="shared" si="124"/>
        <v>-2369238408</v>
      </c>
      <c r="BD200" s="184">
        <f t="shared" si="124"/>
        <v>2369238408</v>
      </c>
      <c r="BE200" s="184">
        <f t="shared" si="124"/>
        <v>-2208858304</v>
      </c>
      <c r="BF200" s="184">
        <f>BF195+BF196+BF197+BF198+BF199</f>
        <v>16585761443</v>
      </c>
      <c r="BG200" s="185">
        <f>+CE131</f>
        <v>0.45337613028400892</v>
      </c>
    </row>
    <row r="201" spans="4:59" ht="15.75" thickTop="1" x14ac:dyDescent="0.25">
      <c r="AH201" s="137"/>
    </row>
    <row r="202" spans="4:59" x14ac:dyDescent="0.25">
      <c r="AG202" s="137"/>
    </row>
  </sheetData>
  <mergeCells count="95">
    <mergeCell ref="B119:F119"/>
    <mergeCell ref="B127:F127"/>
    <mergeCell ref="B128:F128"/>
    <mergeCell ref="B129:F129"/>
    <mergeCell ref="B121:F121"/>
    <mergeCell ref="B122:F122"/>
    <mergeCell ref="B123:F123"/>
    <mergeCell ref="B124:F124"/>
    <mergeCell ref="B125:F125"/>
    <mergeCell ref="B126:F126"/>
    <mergeCell ref="B114:F114"/>
    <mergeCell ref="B115:F115"/>
    <mergeCell ref="B116:F116"/>
    <mergeCell ref="B117:F117"/>
    <mergeCell ref="B118:F118"/>
    <mergeCell ref="B109:F109"/>
    <mergeCell ref="B110:F110"/>
    <mergeCell ref="B111:F111"/>
    <mergeCell ref="B112:F112"/>
    <mergeCell ref="B113:F113"/>
    <mergeCell ref="B21:B23"/>
    <mergeCell ref="B24:E24"/>
    <mergeCell ref="B25:B26"/>
    <mergeCell ref="BT4:CD4"/>
    <mergeCell ref="CG4:CS4"/>
    <mergeCell ref="G193:BG193"/>
    <mergeCell ref="C131:E131"/>
    <mergeCell ref="C140:D140"/>
    <mergeCell ref="G4:AF5"/>
    <mergeCell ref="AG4:AH4"/>
    <mergeCell ref="BF4:BG4"/>
    <mergeCell ref="B98:F98"/>
    <mergeCell ref="B99:F99"/>
    <mergeCell ref="B100:F100"/>
    <mergeCell ref="B101:F101"/>
    <mergeCell ref="B97:F97"/>
    <mergeCell ref="B27:B33"/>
    <mergeCell ref="B8:B11"/>
    <mergeCell ref="B12:B16"/>
    <mergeCell ref="B17:B19"/>
    <mergeCell ref="B108:F108"/>
    <mergeCell ref="A98:A105"/>
    <mergeCell ref="A108:A128"/>
    <mergeCell ref="B102:F102"/>
    <mergeCell ref="B77:F77"/>
    <mergeCell ref="A78:A96"/>
    <mergeCell ref="B78:B84"/>
    <mergeCell ref="B85:B87"/>
    <mergeCell ref="B88:B89"/>
    <mergeCell ref="B90:B92"/>
    <mergeCell ref="B93:B96"/>
    <mergeCell ref="B103:F103"/>
    <mergeCell ref="B104:F104"/>
    <mergeCell ref="B105:F105"/>
    <mergeCell ref="B106:F106"/>
    <mergeCell ref="B107:F107"/>
    <mergeCell ref="B120:F120"/>
    <mergeCell ref="A51:A67"/>
    <mergeCell ref="B51:B54"/>
    <mergeCell ref="B55:B62"/>
    <mergeCell ref="B63:B67"/>
    <mergeCell ref="A68:A76"/>
    <mergeCell ref="B68:B71"/>
    <mergeCell ref="B72:B75"/>
    <mergeCell ref="A34:A46"/>
    <mergeCell ref="B34:B43"/>
    <mergeCell ref="B44:B45"/>
    <mergeCell ref="B47:B49"/>
    <mergeCell ref="B50:E50"/>
    <mergeCell ref="A6:A7"/>
    <mergeCell ref="B6:B7"/>
    <mergeCell ref="CE4:CF4"/>
    <mergeCell ref="DD4:DE4"/>
    <mergeCell ref="DF4:DG4"/>
    <mergeCell ref="CV4:DC4"/>
    <mergeCell ref="DE3:EB3"/>
    <mergeCell ref="A4:A5"/>
    <mergeCell ref="B4:B5"/>
    <mergeCell ref="C4:C5"/>
    <mergeCell ref="D4:D5"/>
    <mergeCell ref="E4:E5"/>
    <mergeCell ref="F4:F5"/>
    <mergeCell ref="BH4:BS4"/>
    <mergeCell ref="CF3:DC3"/>
    <mergeCell ref="DR4:EB4"/>
    <mergeCell ref="DP4:DQ4"/>
    <mergeCell ref="DH4:DI4"/>
    <mergeCell ref="DJ4:DK4"/>
    <mergeCell ref="DL4:DM4"/>
    <mergeCell ref="DN4:DO4"/>
    <mergeCell ref="C1:AF1"/>
    <mergeCell ref="C2:AF2"/>
    <mergeCell ref="C3:AF3"/>
    <mergeCell ref="AH3:BE3"/>
    <mergeCell ref="BH3:CE3"/>
  </mergeCells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31 DE OCT. 2020</vt:lpstr>
      <vt:lpstr>P. ACCIÓN CONSOLIDADO OCT. 2020</vt:lpstr>
      <vt:lpstr>'P. ACCIÓN A 31 DE OCT. 2020'!Títulos_a_imprimir</vt:lpstr>
      <vt:lpstr>'P. ACCIÓN CONSOLIDADO OCT. 2020'!Títulos_a_imprimir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Windows</dc:creator>
  <cp:lastModifiedBy>Usuario de Windows</cp:lastModifiedBy>
  <dcterms:created xsi:type="dcterms:W3CDTF">2020-11-13T17:47:32Z</dcterms:created>
  <dcterms:modified xsi:type="dcterms:W3CDTF">2020-11-13T19:14:52Z</dcterms:modified>
</cp:coreProperties>
</file>